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 activeTab="1"/>
  </bookViews>
  <sheets>
    <sheet name="1. Datos de entrada" sheetId="1" r:id="rId1"/>
    <sheet name="2. MAE Evaluación general" sheetId="3" r:id="rId2"/>
    <sheet name="3. MAE mejora aislamiento" sheetId="2" r:id="rId3"/>
    <sheet name="4. MAE apertura cierre puertas" sheetId="4" r:id="rId4"/>
    <sheet name="5. MAE proceso deshielo" sheetId="8" r:id="rId5"/>
    <sheet name="Hoja1" sheetId="5" r:id="rId6"/>
  </sheets>
  <definedNames>
    <definedName name="_xlnm.Print_Area" localSheetId="0">'1. Datos de entrada'!$A$1:$M$242</definedName>
    <definedName name="_xlnm.Print_Area" localSheetId="1">'2. MAE Evaluación general'!$A$1:$I$244</definedName>
    <definedName name="_xlnm.Print_Area" localSheetId="2">'3. MAE mejora aislamiento'!$A$1:$L$86</definedName>
    <definedName name="_xlnm.Print_Area" localSheetId="3">'4. MAE apertura cierre puertas'!$A$1:$L$125</definedName>
    <definedName name="_xlnm.Print_Area" localSheetId="4">'5. MAE proceso deshielo'!$A$1:$L$132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5" i="3" l="1"/>
  <c r="F126" i="3"/>
  <c r="H80" i="8" l="1"/>
  <c r="C71" i="8"/>
  <c r="H69" i="8"/>
  <c r="E117" i="8"/>
  <c r="G41" i="2"/>
  <c r="F30" i="2"/>
  <c r="F21" i="2"/>
  <c r="F19" i="2"/>
  <c r="F17" i="2"/>
  <c r="G113" i="4"/>
  <c r="E113" i="4"/>
  <c r="G107" i="8" l="1"/>
  <c r="E107" i="8"/>
  <c r="E105" i="8"/>
  <c r="G33" i="8"/>
  <c r="G16" i="8"/>
  <c r="G105" i="8" s="1"/>
  <c r="G11" i="8"/>
  <c r="G9" i="8"/>
  <c r="G7" i="8"/>
  <c r="G16" i="4"/>
  <c r="G101" i="4" s="1"/>
  <c r="G11" i="4"/>
  <c r="G9" i="4"/>
  <c r="G7" i="4"/>
  <c r="G103" i="4"/>
  <c r="E103" i="4"/>
  <c r="E101" i="4"/>
  <c r="G32" i="4"/>
  <c r="E236" i="3"/>
  <c r="G236" i="3" s="1"/>
  <c r="E235" i="3"/>
  <c r="F235" i="3" s="1"/>
  <c r="E234" i="3"/>
  <c r="G234" i="3" s="1"/>
  <c r="G235" i="3"/>
  <c r="D67" i="3"/>
  <c r="D68" i="3"/>
  <c r="D69" i="3"/>
  <c r="D70" i="3"/>
  <c r="D71" i="3"/>
  <c r="C204" i="3"/>
  <c r="F199" i="3"/>
  <c r="F197" i="3"/>
  <c r="F209" i="3"/>
  <c r="F207" i="3"/>
  <c r="C194" i="3"/>
  <c r="C193" i="3"/>
  <c r="C192" i="3"/>
  <c r="F156" i="3"/>
  <c r="F155" i="3"/>
  <c r="F160" i="3" s="1"/>
  <c r="F130" i="3"/>
  <c r="F129" i="3"/>
  <c r="F134" i="3" s="1"/>
  <c r="C119" i="3"/>
  <c r="C107" i="3"/>
  <c r="C185" i="3"/>
  <c r="C106" i="3"/>
  <c r="C92" i="3"/>
  <c r="C89" i="3"/>
  <c r="E89" i="3" s="1"/>
  <c r="C91" i="3"/>
  <c r="C90" i="3"/>
  <c r="C83" i="3"/>
  <c r="C82" i="3"/>
  <c r="C81" i="3"/>
  <c r="C77" i="3"/>
  <c r="C76" i="3"/>
  <c r="C75" i="3"/>
  <c r="C102" i="3"/>
  <c r="C101" i="3"/>
  <c r="C61" i="3"/>
  <c r="E18" i="3"/>
  <c r="E17" i="3"/>
  <c r="C60" i="3"/>
  <c r="C59" i="3"/>
  <c r="C58" i="3"/>
  <c r="C47" i="3"/>
  <c r="C35" i="3"/>
  <c r="C42" i="3"/>
  <c r="C41" i="3"/>
  <c r="C40" i="3"/>
  <c r="C39" i="3"/>
  <c r="C34" i="3"/>
  <c r="C31" i="3"/>
  <c r="C30" i="3"/>
  <c r="C29" i="3"/>
  <c r="C28" i="3"/>
  <c r="C33" i="3"/>
  <c r="C7" i="3"/>
  <c r="C6" i="3"/>
  <c r="C8" i="3"/>
  <c r="C32" i="3"/>
  <c r="E24" i="3"/>
  <c r="E23" i="3"/>
  <c r="D66" i="3"/>
  <c r="C64" i="8" l="1"/>
  <c r="G13" i="4"/>
  <c r="G13" i="8"/>
  <c r="G113" i="8"/>
  <c r="G109" i="8" s="1"/>
  <c r="E113" i="8"/>
  <c r="E111" i="8" s="1"/>
  <c r="E109" i="4"/>
  <c r="E105" i="4" s="1"/>
  <c r="G109" i="4"/>
  <c r="G107" i="4" s="1"/>
  <c r="F236" i="3"/>
  <c r="F234" i="3"/>
  <c r="C210" i="3"/>
  <c r="C200" i="3"/>
  <c r="G111" i="8" l="1"/>
  <c r="E109" i="8"/>
  <c r="E107" i="4"/>
  <c r="G105" i="4"/>
  <c r="G117" i="4" l="1"/>
  <c r="G115" i="4" s="1"/>
  <c r="E121" i="8"/>
  <c r="E123" i="8" s="1"/>
  <c r="E117" i="4"/>
  <c r="E119" i="4" s="1"/>
  <c r="G69" i="4" s="1"/>
  <c r="G119" i="4" l="1"/>
  <c r="G74" i="4" s="1"/>
  <c r="E115" i="4"/>
  <c r="E121" i="4" s="1"/>
  <c r="E123" i="4" s="1"/>
  <c r="E119" i="8"/>
  <c r="G121" i="4"/>
  <c r="G123" i="4" s="1"/>
  <c r="G71" i="4" l="1"/>
  <c r="E125" i="8"/>
  <c r="E127" i="8" s="1"/>
  <c r="G76" i="4"/>
  <c r="G66" i="2"/>
  <c r="I25" i="2"/>
  <c r="E73" i="2"/>
  <c r="I27" i="2"/>
  <c r="I23" i="2"/>
  <c r="G79" i="4" l="1"/>
  <c r="G81" i="4" s="1"/>
  <c r="G83" i="4" s="1"/>
  <c r="E49" i="3" s="1"/>
  <c r="G81" i="8"/>
  <c r="G82" i="8" s="1"/>
  <c r="G73" i="8"/>
  <c r="G69" i="8"/>
  <c r="G80" i="8"/>
  <c r="G70" i="2"/>
  <c r="G74" i="2" s="1"/>
  <c r="E10" i="3" s="1"/>
  <c r="E232" i="3" s="1"/>
  <c r="B67" i="1"/>
  <c r="B68" i="1"/>
  <c r="B69" i="1"/>
  <c r="B70" i="1"/>
  <c r="B71" i="1"/>
  <c r="B66" i="1"/>
  <c r="G87" i="4" l="1"/>
  <c r="E233" i="3"/>
  <c r="G94" i="4"/>
  <c r="G75" i="8"/>
  <c r="G85" i="2"/>
  <c r="G232" i="3" s="1"/>
  <c r="G78" i="2"/>
  <c r="F232" i="3" s="1"/>
  <c r="E238" i="3" l="1"/>
  <c r="E239" i="3"/>
  <c r="G85" i="8"/>
  <c r="G87" i="8" s="1"/>
  <c r="G98" i="8" l="1"/>
  <c r="E95" i="3"/>
  <c r="E237" i="3" s="1"/>
  <c r="G239" i="3"/>
  <c r="E240" i="3"/>
  <c r="F239" i="3"/>
  <c r="E241" i="3"/>
  <c r="G238" i="3"/>
  <c r="F238" i="3"/>
  <c r="G91" i="8"/>
  <c r="F237" i="3" l="1"/>
  <c r="G237" i="3"/>
  <c r="G241" i="3"/>
  <c r="F241" i="3"/>
  <c r="G240" i="3"/>
  <c r="F240" i="3"/>
  <c r="E242" i="3"/>
  <c r="F242" i="3" l="1"/>
  <c r="G242" i="3"/>
</calcChain>
</file>

<file path=xl/sharedStrings.xml><?xml version="1.0" encoding="utf-8"?>
<sst xmlns="http://schemas.openxmlformats.org/spreadsheetml/2006/main" count="868" uniqueCount="498">
  <si>
    <t>FORMATO DE RECOPILACIÓN DE DATOS</t>
  </si>
  <si>
    <t>Razón social</t>
  </si>
  <si>
    <t>Fecha del taller de Eficiencia Energética</t>
  </si>
  <si>
    <t>SISTEMAS DE REFRIGERACIÓN</t>
  </si>
  <si>
    <t>I. Aplicaciones</t>
  </si>
  <si>
    <t>Cámara de refrigeración</t>
  </si>
  <si>
    <t>Muebles frigoríficos (refrigerador por ejemplo)</t>
  </si>
  <si>
    <t>Aplicación industrial (proceso)</t>
  </si>
  <si>
    <t>altura</t>
  </si>
  <si>
    <t>ancho</t>
  </si>
  <si>
    <t>largo</t>
  </si>
  <si>
    <t>Tipo</t>
  </si>
  <si>
    <t>II. Levantamiento de los componentes del sistema</t>
  </si>
  <si>
    <t>III. Cámaras de refrigeración</t>
  </si>
  <si>
    <t>Tipo de frío</t>
  </si>
  <si>
    <t>positivo (0°C hasta 8°C)</t>
  </si>
  <si>
    <t>negativo (&lt;-18°C)</t>
  </si>
  <si>
    <r>
      <t xml:space="preserve">Se utiliza el sistema de refrigeración para: </t>
    </r>
    <r>
      <rPr>
        <i/>
        <sz val="11"/>
        <color rgb="FF0070C0"/>
        <rFont val="Arial"/>
        <family val="2"/>
      </rPr>
      <t>(marcar con una cruz la o las opcion(es) correcta(s))</t>
    </r>
  </si>
  <si>
    <t>Tipo de gas refrigerante:</t>
  </si>
  <si>
    <t>SI</t>
  </si>
  <si>
    <t>NO</t>
  </si>
  <si>
    <t>Las tuberías están aisladas?</t>
  </si>
  <si>
    <t>Existe un programa de mantenimiento?</t>
  </si>
  <si>
    <t>Se realiza periodicamente?</t>
  </si>
  <si>
    <t>Consulte las bitacoras y programas de mantenimiento realizado en el último año. Anote las fechas de las últimas limpiezas de serpentines del evaporador y condensador</t>
  </si>
  <si>
    <t>II.2. Compresor</t>
  </si>
  <si>
    <t>Unidad</t>
  </si>
  <si>
    <t>Capacidad</t>
  </si>
  <si>
    <t>COP</t>
  </si>
  <si>
    <t>Tipo (pistón, scroll, etc.)</t>
  </si>
  <si>
    <t>Completar la tabla siguiente con los datos de cada equipo</t>
  </si>
  <si>
    <t>Nivel de refrigerante adecuado ?</t>
  </si>
  <si>
    <t>Verificar mirilla indicadora de líquido para validar la calidad y cantidad de refrigerante:</t>
  </si>
  <si>
    <t>Presencia de burbujas?</t>
  </si>
  <si>
    <t>Indicador de humedad: existe humedad?</t>
  </si>
  <si>
    <t>Temp. de op. (°C)</t>
  </si>
  <si>
    <t>Antigüedad (años)</t>
  </si>
  <si>
    <t>temperatura salida de gases (°C)</t>
  </si>
  <si>
    <t>temperatura entrada de gases (°C)</t>
  </si>
  <si>
    <t>Presión de entrada (bar)</t>
  </si>
  <si>
    <t>Presión de salida (bar)</t>
  </si>
  <si>
    <t>Equipo</t>
  </si>
  <si>
    <t>#</t>
  </si>
  <si>
    <t>Carga (%)</t>
  </si>
  <si>
    <t>Rendimiento (%)</t>
  </si>
  <si>
    <t>Nivel de aceite del carter adecuado ?</t>
  </si>
  <si>
    <t>Presencia de ruido anormal?</t>
  </si>
  <si>
    <t>Presencia de vibración?</t>
  </si>
  <si>
    <t>Existen fugas de aceite</t>
  </si>
  <si>
    <t>Pregunte al personal si:</t>
  </si>
  <si>
    <t>Comentarios</t>
  </si>
  <si>
    <t>Comentarios generales sobre el estado de los equipos</t>
  </si>
  <si>
    <t>Se ha incrementado el tiempo de funcionamiento?</t>
  </si>
  <si>
    <t>Se ha incrementado la frecuencia de arranques?</t>
  </si>
  <si>
    <t>Por aire</t>
  </si>
  <si>
    <t>Por agua</t>
  </si>
  <si>
    <t>Comentarios sobre estado</t>
  </si>
  <si>
    <t>El equipo está ubicado en un lugar ventilado?</t>
  </si>
  <si>
    <t>Existe obstrucción del paso del aire?</t>
  </si>
  <si>
    <t>Las aletas del serpentin están en buen estado?</t>
  </si>
  <si>
    <t>Funciona adecuadamente el ventilador?</t>
  </si>
  <si>
    <t>Temperatura de aire o agua a la entrada (°C)</t>
  </si>
  <si>
    <t>En el último año, se realizó la limpieza del serpentín?</t>
  </si>
  <si>
    <t>Fecha:</t>
  </si>
  <si>
    <t>Se realizó mantenimiento al ventilador?</t>
  </si>
  <si>
    <t>Se realiza el tratamiento de agua?</t>
  </si>
  <si>
    <t>Parametros en rangos adecuados?</t>
  </si>
  <si>
    <t>Funcionamiento con circuito cerrado?</t>
  </si>
  <si>
    <t>Temperatura de aire a la salida (°C)</t>
  </si>
  <si>
    <t>Vibración excesiva o ruido anormal del ventilador?</t>
  </si>
  <si>
    <t>El serpentín tiene escarche o hielo?</t>
  </si>
  <si>
    <t>Se realiza el proceso de deshielo?</t>
  </si>
  <si>
    <t>Cantidad de proceso de deshielo por día</t>
  </si>
  <si>
    <t>Comentar como se realiza el proceso de deshielo</t>
  </si>
  <si>
    <t>II.5. Circuito segundarios (completar en favor de existir)</t>
  </si>
  <si>
    <t>Temperatura de regreso del fluido segundario (°C)</t>
  </si>
  <si>
    <t>Temperatura de ida del fluido segundario (°C)</t>
  </si>
  <si>
    <t>Dimensión del área a refrigerar</t>
  </si>
  <si>
    <t>m</t>
  </si>
  <si>
    <t>Tipo de productos almacenados</t>
  </si>
  <si>
    <t>Temperatura de consigna (°C)?</t>
  </si>
  <si>
    <t>Temperatura adecuada de acuerdo al tipo de uso ?</t>
  </si>
  <si>
    <t>(refrigeración - frío positivo vs. congelación - frío negativo)</t>
  </si>
  <si>
    <t>Aislamiento de la cámara:</t>
  </si>
  <si>
    <t>Espesor</t>
  </si>
  <si>
    <t>cm</t>
  </si>
  <si>
    <t>Comente con el personal sobre el uso de la cámara de refrigeración:</t>
  </si>
  <si>
    <t>Se usa muy poco?</t>
  </si>
  <si>
    <t>Está casí vacia?</t>
  </si>
  <si>
    <t>Está muy llena?</t>
  </si>
  <si>
    <t>Se rellena todos los días?</t>
  </si>
  <si>
    <t>Ubicación adecuada (lejos de fuentes de calor o radiación solar)?</t>
  </si>
  <si>
    <t>La temperatura del lado de la pared exterior se siente fria?</t>
  </si>
  <si>
    <t>Los sellos de las puertas y aperturas están en buen estado?</t>
  </si>
  <si>
    <t>Cuenta con cortinas hawaianas?</t>
  </si>
  <si>
    <t>Hay productos que tapan al paso del aire en el evaporador?</t>
  </si>
  <si>
    <t>El evaporador está ubicado lejos de la puerta?</t>
  </si>
  <si>
    <t>Cuantas veces al día se abre la puerta?</t>
  </si>
  <si>
    <t>por día</t>
  </si>
  <si>
    <t>segundos</t>
  </si>
  <si>
    <t>III. Muebles frigoríficos</t>
  </si>
  <si>
    <t>Los muebles están cerrados?</t>
  </si>
  <si>
    <t>Las distribución de los productos es uniforme?</t>
  </si>
  <si>
    <t>Está automatizado este proceso?</t>
  </si>
  <si>
    <t>En caso de que si; favor de indicar el sistema de regulación</t>
  </si>
  <si>
    <t>El sistema de iluminación es eficiente?</t>
  </si>
  <si>
    <t>En caso de que no, cuenta con algún tipo de protección?</t>
  </si>
  <si>
    <t>En caso de que tenga protecciones, indicar cuales:</t>
  </si>
  <si>
    <t>cortina de aire</t>
  </si>
  <si>
    <t>cortina de noche</t>
  </si>
  <si>
    <t>cuenta con sistema de regulación?</t>
  </si>
  <si>
    <t>En caso de que si, de que tipo?</t>
  </si>
  <si>
    <t>El ventilador es de veolicidad variable?</t>
  </si>
  <si>
    <t>De que tipo es?</t>
  </si>
  <si>
    <t>Termostática</t>
  </si>
  <si>
    <t>Electrónica</t>
  </si>
  <si>
    <t>Recuperación de calor:</t>
  </si>
  <si>
    <t>En caso de si, a que temperatura</t>
  </si>
  <si>
    <t>Existe necesidades de agua caliente?</t>
  </si>
  <si>
    <t>En caso de si, son simultaneas al uso del sistema de refrigeración?</t>
  </si>
  <si>
    <t>Medir la temperatura del refrigerante a la entrada (°C)</t>
  </si>
  <si>
    <t>En caso de que si, fecha del último?</t>
  </si>
  <si>
    <t>m²</t>
  </si>
  <si>
    <t>m³</t>
  </si>
  <si>
    <t>°C</t>
  </si>
  <si>
    <t>W/mK</t>
  </si>
  <si>
    <t>e =</t>
  </si>
  <si>
    <t>Medida de Ahorro de Energía:
MEJORA DEL AISLAMIENTO</t>
  </si>
  <si>
    <t>a.</t>
  </si>
  <si>
    <t>b.</t>
  </si>
  <si>
    <t>c.</t>
  </si>
  <si>
    <t>d.</t>
  </si>
  <si>
    <t>Las temperaturas externas e internas son constantes a lo largo del año</t>
  </si>
  <si>
    <t>Se consideran las siguientes hipótesis para simplificar los cálculos:</t>
  </si>
  <si>
    <t>1/ Hipótesis de cálculo</t>
  </si>
  <si>
    <t>Se introduce el costo promedio del kWh eléctrico en función de la tarifa de CFE.</t>
  </si>
  <si>
    <t>Se supone que las paredes, el suelo y el piso contienen el mismo tipo de aislante con el mismo espesor</t>
  </si>
  <si>
    <t>Se introduce el COP (rendimiento) global promedio. Si no se cuenta con la información del rendimiento energético de la máquina frigorífica, indicar el valor de referencia de 2.5, es decir que 1 kWh eléctrico consumido por la máquina frigorífica y sus auxiliares entrega 2.5 kWh frigoríficos en la cámara frigorífica</t>
  </si>
  <si>
    <t>2/ Características de la cámara frigorífica</t>
  </si>
  <si>
    <t>Largo</t>
  </si>
  <si>
    <t>Altura</t>
  </si>
  <si>
    <t>Ancho</t>
  </si>
  <si>
    <t>A partir de los datos anteriores, se calcula</t>
  </si>
  <si>
    <t>Superficie del piso</t>
  </si>
  <si>
    <t>Superficie lateral</t>
  </si>
  <si>
    <t>Volumen de la cámara</t>
  </si>
  <si>
    <t>3/ Condiciones exteriores</t>
  </si>
  <si>
    <t>4/ Características del aislante</t>
  </si>
  <si>
    <t>Indicar la temperatura externa</t>
  </si>
  <si>
    <t>5/ Eficiencia de la máquina frigorífica</t>
  </si>
  <si>
    <r>
      <t xml:space="preserve">l </t>
    </r>
    <r>
      <rPr>
        <sz val="11"/>
        <rFont val="Arial"/>
        <family val="2"/>
      </rPr>
      <t>=</t>
    </r>
  </si>
  <si>
    <t>Indicar el incremento del espesor del aislante:</t>
  </si>
  <si>
    <r>
      <t>D</t>
    </r>
    <r>
      <rPr>
        <sz val="11"/>
        <rFont val="Arial"/>
        <family val="2"/>
      </rPr>
      <t>e =</t>
    </r>
  </si>
  <si>
    <t>En caso de desconocer este dato, tomar el valor de referencia de 2.5</t>
  </si>
  <si>
    <t>Indicar el COP promedio de la máquina frigorífica:</t>
  </si>
  <si>
    <t xml:space="preserve">Indicar el costo promedio del kWh </t>
  </si>
  <si>
    <t>$ / kWh</t>
  </si>
  <si>
    <t>NOTA: se debe verificar el espesor adecuado del aislante para evitar tener condensación en las paredes externas de la cámara frigorífica.</t>
  </si>
  <si>
    <t>6/ Referencia del costo de energía eléctrica</t>
  </si>
  <si>
    <t>7/ Cálculo de la energía ganada</t>
  </si>
  <si>
    <t>Considerando que la energía ganada con el incremento del espesor de aislante depende de:</t>
  </si>
  <si>
    <t>- la diferencia de temperatura entre el exterior e interior de la cámara frigorífica</t>
  </si>
  <si>
    <t>- el espesor inicial del aislante €</t>
  </si>
  <si>
    <r>
      <t>- el espesor adicional del aislante (</t>
    </r>
    <r>
      <rPr>
        <sz val="11"/>
        <rFont val="Symbol"/>
        <family val="1"/>
        <charset val="2"/>
      </rPr>
      <t>D</t>
    </r>
    <r>
      <rPr>
        <sz val="11"/>
        <rFont val="Arial"/>
        <family val="2"/>
      </rPr>
      <t>e)</t>
    </r>
  </si>
  <si>
    <t>Indicar la conductividad térmica del aislante:</t>
  </si>
  <si>
    <t>En caso de desconocer este dato, tomar el valor de referencia de 0.028 W/m.K</t>
  </si>
  <si>
    <r>
      <t>- la conductividad térmica del aislante (</t>
    </r>
    <r>
      <rPr>
        <sz val="11"/>
        <rFont val="Symbol"/>
        <family val="1"/>
        <charset val="2"/>
      </rPr>
      <t>l</t>
    </r>
    <r>
      <rPr>
        <sz val="11"/>
        <rFont val="Arial"/>
        <family val="2"/>
      </rPr>
      <t xml:space="preserve"> )</t>
    </r>
  </si>
  <si>
    <r>
      <t xml:space="preserve">(donde R es la resistencia térmica de base, expresada en m²K/W y R+ es la resistencia térmica mejorada por el incremento de espesor del aislante </t>
    </r>
    <r>
      <rPr>
        <sz val="10"/>
        <rFont val="Symbol"/>
        <family val="1"/>
        <charset val="2"/>
      </rPr>
      <t>D</t>
    </r>
    <r>
      <rPr>
        <sz val="10"/>
        <rFont val="Arial"/>
        <family val="2"/>
      </rPr>
      <t>e).</t>
    </r>
  </si>
  <si>
    <r>
      <t>D</t>
    </r>
    <r>
      <rPr>
        <sz val="11"/>
        <rFont val="Arial"/>
        <family val="2"/>
      </rPr>
      <t xml:space="preserve">Aportaciones = </t>
    </r>
    <r>
      <rPr>
        <sz val="11"/>
        <rFont val="Symbol"/>
        <family val="1"/>
        <charset val="2"/>
      </rPr>
      <t>D</t>
    </r>
    <r>
      <rPr>
        <sz val="11"/>
        <rFont val="Arial"/>
        <family val="2"/>
      </rPr>
      <t xml:space="preserve">t/R - </t>
    </r>
    <r>
      <rPr>
        <sz val="11"/>
        <rFont val="Symbol"/>
        <family val="1"/>
        <charset val="2"/>
      </rPr>
      <t>D</t>
    </r>
    <r>
      <rPr>
        <sz val="11"/>
        <rFont val="Arial"/>
        <family val="2"/>
      </rPr>
      <t>t/R</t>
    </r>
    <r>
      <rPr>
        <vertAlign val="superscript"/>
        <sz val="11"/>
        <rFont val="Arial"/>
        <family val="2"/>
      </rPr>
      <t>+</t>
    </r>
    <r>
      <rPr>
        <sz val="11"/>
        <rFont val="Arial"/>
        <family val="2"/>
      </rPr>
      <t xml:space="preserve"> </t>
    </r>
  </si>
  <si>
    <r>
      <t>R = e/</t>
    </r>
    <r>
      <rPr>
        <sz val="11"/>
        <rFont val="Symbol"/>
        <family val="1"/>
        <charset val="2"/>
      </rPr>
      <t>l</t>
    </r>
    <r>
      <rPr>
        <sz val="11"/>
        <rFont val="Arial"/>
        <family val="2"/>
      </rPr>
      <t xml:space="preserve"> y R</t>
    </r>
    <r>
      <rPr>
        <vertAlign val="superscript"/>
        <sz val="11"/>
        <rFont val="Arial"/>
        <family val="2"/>
      </rPr>
      <t>+</t>
    </r>
    <r>
      <rPr>
        <sz val="11"/>
        <rFont val="Arial"/>
        <family val="2"/>
      </rPr>
      <t xml:space="preserve"> = (e + </t>
    </r>
    <r>
      <rPr>
        <sz val="11"/>
        <rFont val="Symbol"/>
        <family val="1"/>
        <charset val="2"/>
      </rPr>
      <t>D</t>
    </r>
    <r>
      <rPr>
        <sz val="11"/>
        <rFont val="Arial"/>
        <family val="2"/>
      </rPr>
      <t>e)/</t>
    </r>
    <r>
      <rPr>
        <sz val="11"/>
        <rFont val="Symbol"/>
        <family val="1"/>
        <charset val="2"/>
      </rPr>
      <t>l</t>
    </r>
  </si>
  <si>
    <t>Podemos calcular la energía ganada por en W/m² en función de Dt, l, e, De:</t>
  </si>
  <si>
    <t>Multiplicándolo por la superficie de toda la cámara, obtenemos:</t>
  </si>
  <si>
    <t>Considerando el rendimiento de la máquina frigorífica y las horas de funcionamiento, el ahorro energético es de :</t>
  </si>
  <si>
    <t>Horas de funcionamiento</t>
  </si>
  <si>
    <t>hr/año</t>
  </si>
  <si>
    <r>
      <t>W/m</t>
    </r>
    <r>
      <rPr>
        <vertAlign val="superscript"/>
        <sz val="11"/>
        <rFont val="Arial"/>
        <family val="2"/>
      </rPr>
      <t>2</t>
    </r>
  </si>
  <si>
    <r>
      <t>W</t>
    </r>
    <r>
      <rPr>
        <vertAlign val="subscript"/>
        <sz val="11"/>
        <rFont val="Arial"/>
        <family val="2"/>
      </rPr>
      <t>frigo</t>
    </r>
  </si>
  <si>
    <t>8/ Cálculo del ahorro económico</t>
  </si>
  <si>
    <t>El ahorro económico anual correspondiente es de</t>
  </si>
  <si>
    <t>$/año</t>
  </si>
  <si>
    <r>
      <t>kWh</t>
    </r>
    <r>
      <rPr>
        <b/>
        <vertAlign val="subscript"/>
        <sz val="11"/>
        <color rgb="FFFF0000"/>
        <rFont val="Arial"/>
        <family val="2"/>
      </rPr>
      <t>elec</t>
    </r>
  </si>
  <si>
    <t>Factor de emisión de electricidad considerado</t>
  </si>
  <si>
    <t>kgCO2e/kWh</t>
  </si>
  <si>
    <t xml:space="preserve">http://www.geimexico.org/factor.html </t>
  </si>
  <si>
    <t>kgCO2e/año</t>
  </si>
  <si>
    <t>Emisiones anuales evitadas:</t>
  </si>
  <si>
    <t>%</t>
  </si>
  <si>
    <t>kg</t>
  </si>
  <si>
    <t>s</t>
  </si>
  <si>
    <t>m³/h</t>
  </si>
  <si>
    <t>g/h</t>
  </si>
  <si>
    <t>Medida de Ahorro de Energía:
FRECUENCIA DE APERTURA DE PUERTAS DE CÁMARA</t>
  </si>
  <si>
    <t>Incremento de temperatura de evaporación</t>
  </si>
  <si>
    <t>Mejora del aislamiento</t>
  </si>
  <si>
    <t>Optimización del proceso de deshielo</t>
  </si>
  <si>
    <t>Muebles frigoríficos</t>
  </si>
  <si>
    <t>Apuntar los siguientes parametros de funcionamiento de cada equipo</t>
  </si>
  <si>
    <t>Medida de Ahorro de Energía:
EVALUACIÓN GENERAL</t>
  </si>
  <si>
    <t>1/ Características generales de la cámara frigorífica</t>
  </si>
  <si>
    <t>1.1 Características geométricas</t>
  </si>
  <si>
    <t>Volumen de la cámara frigorífica:</t>
  </si>
  <si>
    <t>1.2 Condiciones interiores</t>
  </si>
  <si>
    <t>Temperatura interior</t>
  </si>
  <si>
    <t>Húmedad relativa interior</t>
  </si>
  <si>
    <t>1.3 Características técnicas</t>
  </si>
  <si>
    <r>
      <t>9/ Cálculo de las emisiones de CO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 xml:space="preserve"> evitadas</t>
    </r>
  </si>
  <si>
    <t>Compresor</t>
  </si>
  <si>
    <t>1/ Mejora del aislamiento</t>
  </si>
  <si>
    <t>Ver hoja de cálculo en pestañas siguientes</t>
  </si>
  <si>
    <t>Ahorros energéticos anuales</t>
  </si>
  <si>
    <t>2/ Disminución de las cargas térmicas</t>
  </si>
  <si>
    <t>2.1 Cargas internas: Iluminación</t>
  </si>
  <si>
    <t>Medidas interiores de la cámara frigorífica:</t>
  </si>
  <si>
    <t>Temperatura en el interior de la cámara frigorífica:</t>
  </si>
  <si>
    <t>Espesor actual del aislante:</t>
  </si>
  <si>
    <t>Según del levantamiento realizado:</t>
  </si>
  <si>
    <r>
      <t>II.1. Datos generales del sistema</t>
    </r>
    <r>
      <rPr>
        <u/>
        <sz val="11"/>
        <color rgb="FF0070C0"/>
        <rFont val="Arial"/>
        <family val="2"/>
      </rPr>
      <t xml:space="preserve"> </t>
    </r>
    <r>
      <rPr>
        <i/>
        <sz val="11"/>
        <color rgb="FF0070C0"/>
        <rFont val="Arial"/>
        <family val="2"/>
      </rPr>
      <t>(completar con una "x" en las celdas si o no)</t>
    </r>
  </si>
  <si>
    <r>
      <t xml:space="preserve">Compruebe el estado del compresor </t>
    </r>
    <r>
      <rPr>
        <i/>
        <sz val="11"/>
        <color rgb="FF0070C0"/>
        <rFont val="Arial"/>
        <family val="2"/>
      </rPr>
      <t>(completar con una "x" en las celdas si o no)</t>
    </r>
  </si>
  <si>
    <r>
      <t xml:space="preserve">II.3. Condensador </t>
    </r>
    <r>
      <rPr>
        <i/>
        <sz val="11"/>
        <color rgb="FF0070C0"/>
        <rFont val="Arial"/>
        <family val="2"/>
      </rPr>
      <t>(completar con una "x" en las celdas si o no)</t>
    </r>
  </si>
  <si>
    <r>
      <t>II.4. Evaporador</t>
    </r>
    <r>
      <rPr>
        <i/>
        <sz val="11"/>
        <color rgb="FF0070C0"/>
        <rFont val="Arial"/>
        <family val="2"/>
      </rPr>
      <t xml:space="preserve"> (completar con una "x" en las celdas si o no)</t>
    </r>
  </si>
  <si>
    <r>
      <t xml:space="preserve">II.6. Válvula de expansión </t>
    </r>
    <r>
      <rPr>
        <i/>
        <sz val="11"/>
        <color rgb="FF0070C0"/>
        <rFont val="Arial"/>
        <family val="2"/>
      </rPr>
      <t>(completar con una "x" en las celdas si o no)</t>
    </r>
  </si>
  <si>
    <t>(completar con una "x" en las celdas si o no)</t>
  </si>
  <si>
    <t>Por cuanto tiempo</t>
  </si>
  <si>
    <t>Cámara frigorífica</t>
  </si>
  <si>
    <t>2.2 Cargas externas: fuentes de calor</t>
  </si>
  <si>
    <t>Temperatura</t>
  </si>
  <si>
    <t>Uso</t>
  </si>
  <si>
    <t>Ubicación</t>
  </si>
  <si>
    <t>2.4 Caso del mueble frigorífico</t>
  </si>
  <si>
    <t>2.3 Caso de la cámara de refrigeración</t>
  </si>
  <si>
    <t>3/ Disminución de las aperturas y cierre de puertas</t>
  </si>
  <si>
    <t>Protección</t>
  </si>
  <si>
    <t>Cierre</t>
  </si>
  <si>
    <t>(ahorro estimado de hasta 30%)</t>
  </si>
  <si>
    <t>(ahorro estimado entre 8 y 15% - ver detalles en tutorial)</t>
  </si>
  <si>
    <t>4/ Cambios tecnologicos</t>
  </si>
  <si>
    <t>4.1 Sustitución de equipos</t>
  </si>
  <si>
    <t>Si la antigüedad de los equipos es &gt; a 10 años, recomendar la sustitución</t>
  </si>
  <si>
    <t>Nivel aceite</t>
  </si>
  <si>
    <t>Fugas</t>
  </si>
  <si>
    <t>Según el levantamiento realizado:</t>
  </si>
  <si>
    <t>Ruido</t>
  </si>
  <si>
    <t>Vibración</t>
  </si>
  <si>
    <t>4.2 Compresores</t>
  </si>
  <si>
    <t>(ahorros estimados de hasta 10%)</t>
  </si>
  <si>
    <t>Funcionamiento</t>
  </si>
  <si>
    <t>Mantenimiento</t>
  </si>
  <si>
    <t>Cambio</t>
  </si>
  <si>
    <t>4.3 Ventilador del condensador</t>
  </si>
  <si>
    <t>4.3 Ventilador del evaporador</t>
  </si>
  <si>
    <t>5/ Optimización del proceso de deshielo</t>
  </si>
  <si>
    <t>Proceso</t>
  </si>
  <si>
    <t>Automatización</t>
  </si>
  <si>
    <t>Recomendar sustitución:</t>
  </si>
  <si>
    <t>6.1 Regulación del compresor</t>
  </si>
  <si>
    <t>6.2 Funcionamiento del condensador</t>
  </si>
  <si>
    <t>Es posible reducir la temperatura de condensación actual?</t>
  </si>
  <si>
    <t>Indicar "Si" o "No"</t>
  </si>
  <si>
    <t>De cuantos grados?</t>
  </si>
  <si>
    <t>Ahorros estimados sobre consumo eléctrico del compresor:</t>
  </si>
  <si>
    <t>A partir de lo indicado en el tutorial, evaluar:</t>
  </si>
  <si>
    <t>7/ Recuperación del calor residual al nivel del condensador</t>
  </si>
  <si>
    <t>6/ Mejora de la regulación y ajustes de set points</t>
  </si>
  <si>
    <t>6.2 Temperatura de evaporación</t>
  </si>
  <si>
    <t>A partir de los requerimientos de frío de la PyME, evaluar si:</t>
  </si>
  <si>
    <t>Es posible aumentar la temperatura de evaporación actual?</t>
  </si>
  <si>
    <t>6.3 Subenfriamiento</t>
  </si>
  <si>
    <t>8/ Mantenimiento</t>
  </si>
  <si>
    <t>Temperatura entrada vávula expansión</t>
  </si>
  <si>
    <t>[°C]</t>
  </si>
  <si>
    <t>R22</t>
  </si>
  <si>
    <t>R134A</t>
  </si>
  <si>
    <t>R404A</t>
  </si>
  <si>
    <t>R407c</t>
  </si>
  <si>
    <t>7,10</t>
  </si>
  <si>
    <t>4,01</t>
  </si>
  <si>
    <t>8,80</t>
  </si>
  <si>
    <t>8,27</t>
  </si>
  <si>
    <t>7,58</t>
  </si>
  <si>
    <t>4,34</t>
  </si>
  <si>
    <t>9,3</t>
  </si>
  <si>
    <t>8,81</t>
  </si>
  <si>
    <t>8,08</t>
  </si>
  <si>
    <t>4,68</t>
  </si>
  <si>
    <t>9,38</t>
  </si>
  <si>
    <t>9,42</t>
  </si>
  <si>
    <t>5,61</t>
  </si>
  <si>
    <t>11,6</t>
  </si>
  <si>
    <t>10,91</t>
  </si>
  <si>
    <t>6,66</t>
  </si>
  <si>
    <t>13,3</t>
  </si>
  <si>
    <t>12,60</t>
  </si>
  <si>
    <t>12,55</t>
  </si>
  <si>
    <t>7,82</t>
  </si>
  <si>
    <t>15,2</t>
  </si>
  <si>
    <t>14,46</t>
  </si>
  <si>
    <t>14,35</t>
  </si>
  <si>
    <t>9,11</t>
  </si>
  <si>
    <t>17,3</t>
  </si>
  <si>
    <t>16,50</t>
  </si>
  <si>
    <t>16,33</t>
  </si>
  <si>
    <t>10,53</t>
  </si>
  <si>
    <t>19,6</t>
  </si>
  <si>
    <t>18,75</t>
  </si>
  <si>
    <t>18,49</t>
  </si>
  <si>
    <t>12,10</t>
  </si>
  <si>
    <t>21,20</t>
  </si>
  <si>
    <t>20,84</t>
  </si>
  <si>
    <t>13,83</t>
  </si>
  <si>
    <t>24,8</t>
  </si>
  <si>
    <t>23,87</t>
  </si>
  <si>
    <t>23,40</t>
  </si>
  <si>
    <t>15,73</t>
  </si>
  <si>
    <t>26,78</t>
  </si>
  <si>
    <t>26,17</t>
  </si>
  <si>
    <t>17,80</t>
  </si>
  <si>
    <t>29,94</t>
  </si>
  <si>
    <t>Temperatura de condensación</t>
  </si>
  <si>
    <t>Presión relativa [bar] de condensación</t>
  </si>
  <si>
    <t>- 30</t>
  </si>
  <si>
    <t>0,64</t>
  </si>
  <si>
    <t>1,07</t>
  </si>
  <si>
    <t>1,36</t>
  </si>
  <si>
    <t>- 20</t>
  </si>
  <si>
    <t>1,43</t>
  </si>
  <si>
    <t>0,31</t>
  </si>
  <si>
    <t>2,05</t>
  </si>
  <si>
    <t>1,79</t>
  </si>
  <si>
    <t>- 18</t>
  </si>
  <si>
    <t>1,62</t>
  </si>
  <si>
    <t>0,43</t>
  </si>
  <si>
    <t>2,30</t>
  </si>
  <si>
    <t>2,02</t>
  </si>
  <si>
    <t>- 16</t>
  </si>
  <si>
    <t>1,83</t>
  </si>
  <si>
    <t>0,56</t>
  </si>
  <si>
    <t>2,56</t>
  </si>
  <si>
    <t>2,25</t>
  </si>
  <si>
    <t>- 14</t>
  </si>
  <si>
    <t>0,69</t>
  </si>
  <si>
    <t>2,82</t>
  </si>
  <si>
    <t>2,50</t>
  </si>
  <si>
    <t>- 12</t>
  </si>
  <si>
    <t>2,28</t>
  </si>
  <si>
    <t>0,84</t>
  </si>
  <si>
    <t>3,09</t>
  </si>
  <si>
    <t>2,77</t>
  </si>
  <si>
    <t>- 10</t>
  </si>
  <si>
    <t>2,52</t>
  </si>
  <si>
    <t>0,99</t>
  </si>
  <si>
    <t>3,39</t>
  </si>
  <si>
    <t>3,05</t>
  </si>
  <si>
    <t>- 8</t>
  </si>
  <si>
    <t>2,78</t>
  </si>
  <si>
    <t>1,15</t>
  </si>
  <si>
    <t>3,69</t>
  </si>
  <si>
    <t>3,34</t>
  </si>
  <si>
    <t>- 6</t>
  </si>
  <si>
    <t>1,33</t>
  </si>
  <si>
    <t>3,65</t>
  </si>
  <si>
    <t>- 4</t>
  </si>
  <si>
    <t>3,33</t>
  </si>
  <si>
    <t>1,51</t>
  </si>
  <si>
    <t>4,36</t>
  </si>
  <si>
    <t>3,98</t>
  </si>
  <si>
    <t>- 2</t>
  </si>
  <si>
    <t>3,63</t>
  </si>
  <si>
    <t>1,71</t>
  </si>
  <si>
    <t>4,63</t>
  </si>
  <si>
    <t>4,32</t>
  </si>
  <si>
    <t>3,95</t>
  </si>
  <si>
    <t>1,91</t>
  </si>
  <si>
    <t>5,09</t>
  </si>
  <si>
    <t>4,28</t>
  </si>
  <si>
    <t>2,13</t>
  </si>
  <si>
    <t>5,59</t>
  </si>
  <si>
    <t>5,06</t>
  </si>
  <si>
    <t>2,36</t>
  </si>
  <si>
    <t>5,89</t>
  </si>
  <si>
    <t>5,46</t>
  </si>
  <si>
    <t>Temperatura de evaporación</t>
  </si>
  <si>
    <t>Presión relativa [bar] de evaporación</t>
  </si>
  <si>
    <t>Presion de condensación = Presión salida compresor</t>
  </si>
  <si>
    <t>bar</t>
  </si>
  <si>
    <t>A partir de la tabla abajo y del tipo de refrigerante, indicar la temperatura de condensación</t>
  </si>
  <si>
    <t>(ver apartado de subenfriamiento para evaluar el valor)</t>
  </si>
  <si>
    <t>Valor del subenfriamiento</t>
  </si>
  <si>
    <t>Este valor debe ser entre 5 y 7°C, excepto si se trata de una válvula de expansión tipo capilar.</t>
  </si>
  <si>
    <t>En caso de tener una diferencia menor a 5 o 7 °C, indica que hace falta refrigerante en el sistema o bien que el condensador está incrustado.</t>
  </si>
  <si>
    <t>6.4 Sobrecalentamiento</t>
  </si>
  <si>
    <t>Temperatura de gas a la entrada del compresor</t>
  </si>
  <si>
    <t>Presion de evaporación = Presión entrada compresor</t>
  </si>
  <si>
    <t>A partir de la tabla abajo y del tipo de refrigerante, indicar la temperatura de evaporación</t>
  </si>
  <si>
    <t>Valor del sobrecalentamiento</t>
  </si>
  <si>
    <t>Para una válvula de expansión termostática, esta diferencia debe ser del orden de 6 a 8°C mientras que para las vávulas de expansión electrónicas, esta diferencia es de 3°C.</t>
  </si>
  <si>
    <t>8.1 General</t>
  </si>
  <si>
    <t>8.2 Condensador por aire</t>
  </si>
  <si>
    <t>8.3 Condensador por agua</t>
  </si>
  <si>
    <t>8.5 Evaporador</t>
  </si>
  <si>
    <t>Aislamiento</t>
  </si>
  <si>
    <t>Refrigerante</t>
  </si>
  <si>
    <t>Programa</t>
  </si>
  <si>
    <t>Temperatura del aire</t>
  </si>
  <si>
    <t>De cuantos grados estima?</t>
  </si>
  <si>
    <t>Tratamiento</t>
  </si>
  <si>
    <t>MAE</t>
  </si>
  <si>
    <t>9/ Resumen de Medidas de Ahorros de Energía (MAE)</t>
  </si>
  <si>
    <t>Si</t>
  </si>
  <si>
    <t>Realizar este cálculo para cada sistema de refrigeración instalado:</t>
  </si>
  <si>
    <t>W</t>
  </si>
  <si>
    <t xml:space="preserve">W </t>
  </si>
  <si>
    <t>(se puede obtener con datos de placa, catalogo de fabricante, mediciones, etc.)</t>
  </si>
  <si>
    <t>Ahorros energéticos (kWh/año)</t>
  </si>
  <si>
    <t>Ahorros económicos ($/año)</t>
  </si>
  <si>
    <r>
      <t>Emisiones de CO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evitadas (kg CO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/año)</t>
    </r>
  </si>
  <si>
    <t>Elegir las MAEs a aplicar</t>
  </si>
  <si>
    <r>
      <t>kgCO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e/kWh</t>
    </r>
  </si>
  <si>
    <t>Disminución de las aperturas y cierre de puerta</t>
  </si>
  <si>
    <t>Sustitución de compresor</t>
  </si>
  <si>
    <t>Potencia promedia del compresor</t>
  </si>
  <si>
    <t>hr por año</t>
  </si>
  <si>
    <t>Horas de funcionamiento anual</t>
  </si>
  <si>
    <t>Potencia del ventilador (condensador)</t>
  </si>
  <si>
    <t>Potencia del ventilador (evaporador)</t>
  </si>
  <si>
    <t>Variador de frecuencia en ventilador del evaporador</t>
  </si>
  <si>
    <t>Variador de frecuencia en ventilador del condensador</t>
  </si>
  <si>
    <t>Reducción de temperatura de condensación</t>
  </si>
  <si>
    <t>Limpieza de serpentín del evaporador</t>
  </si>
  <si>
    <t>Limpieza de serpentín del condensador</t>
  </si>
  <si>
    <t>TOTAL ANUAL</t>
  </si>
  <si>
    <t>2/ Características generales de la puerta</t>
  </si>
  <si>
    <t>Largo de la puerta</t>
  </si>
  <si>
    <t>Altura de la puerta</t>
  </si>
  <si>
    <t>Superficie de la puerta</t>
  </si>
  <si>
    <t>Tiempo de apertura</t>
  </si>
  <si>
    <t>Frecuencia de apertura</t>
  </si>
  <si>
    <t>veces por hora</t>
  </si>
  <si>
    <t>h por día</t>
  </si>
  <si>
    <t>Temperatura exterior</t>
  </si>
  <si>
    <t>Humedad relativa exterior</t>
  </si>
  <si>
    <t>4/ Condiciones de apertura de la puerta</t>
  </si>
  <si>
    <r>
      <t xml:space="preserve">4.1 Apertura de la puerta </t>
    </r>
    <r>
      <rPr>
        <b/>
        <u/>
        <sz val="11"/>
        <rFont val="Arial"/>
        <family val="2"/>
      </rPr>
      <t>actual</t>
    </r>
  </si>
  <si>
    <r>
      <t xml:space="preserve">4.2 Apertura de la puerta </t>
    </r>
    <r>
      <rPr>
        <b/>
        <u/>
        <sz val="11"/>
        <rFont val="Arial"/>
        <family val="2"/>
      </rPr>
      <t>optimizada</t>
    </r>
  </si>
  <si>
    <t>kWh / día</t>
  </si>
  <si>
    <t>Energía requerida para enfriar y secar el aire introducido por las aperturas de puerta</t>
  </si>
  <si>
    <r>
      <t xml:space="preserve">Energía frigorífica </t>
    </r>
    <r>
      <rPr>
        <sz val="11"/>
        <rFont val="Arial"/>
        <family val="2"/>
      </rPr>
      <t>requerida por el evaporador por las aperturas de puertas:</t>
    </r>
  </si>
  <si>
    <t>Ahorros de energía frigorífica</t>
  </si>
  <si>
    <t>Ahorros de energía eléctrica</t>
  </si>
  <si>
    <t>kWh / año</t>
  </si>
  <si>
    <t>COP promedio de la máquina frigorífica:</t>
  </si>
  <si>
    <t>5/ Referencia del costo de energía eléctrica</t>
  </si>
  <si>
    <t>6/ Resultados</t>
  </si>
  <si>
    <t>6.1 Balance actual</t>
  </si>
  <si>
    <t>6.2 Balance situación optimizada</t>
  </si>
  <si>
    <t>6.3 Ahorros energéticos</t>
  </si>
  <si>
    <t>7/ Cálculo del ahorro económico</t>
  </si>
  <si>
    <r>
      <t>8/ Cálculo de las emisiones de CO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 xml:space="preserve"> evitadas</t>
    </r>
  </si>
  <si>
    <t>Anexos: cálculos intermedios termodinámicos</t>
  </si>
  <si>
    <t xml:space="preserve">Propriedades del aire </t>
  </si>
  <si>
    <t>exterior</t>
  </si>
  <si>
    <t>interior</t>
  </si>
  <si>
    <t>Humedad relativa</t>
  </si>
  <si>
    <t>Entalpia (masa)</t>
  </si>
  <si>
    <t>Densidad</t>
  </si>
  <si>
    <t>Cantidad de vapor</t>
  </si>
  <si>
    <r>
      <t>kJ/kg</t>
    </r>
    <r>
      <rPr>
        <vertAlign val="subscript"/>
        <sz val="10"/>
        <rFont val="Arial"/>
        <family val="2"/>
      </rPr>
      <t>aire</t>
    </r>
  </si>
  <si>
    <r>
      <t>kg</t>
    </r>
    <r>
      <rPr>
        <vertAlign val="subscript"/>
        <sz val="10"/>
        <rFont val="Arial"/>
        <family val="2"/>
      </rPr>
      <t>aire</t>
    </r>
    <r>
      <rPr>
        <sz val="10"/>
        <rFont val="Arial"/>
        <family val="2"/>
      </rPr>
      <t>/m³</t>
    </r>
  </si>
  <si>
    <r>
      <t>g</t>
    </r>
    <r>
      <rPr>
        <vertAlign val="subscript"/>
        <sz val="10"/>
        <rFont val="Arial"/>
        <family val="2"/>
      </rPr>
      <t>agua</t>
    </r>
    <r>
      <rPr>
        <sz val="10"/>
        <rFont val="Arial"/>
        <family val="2"/>
      </rPr>
      <t>/kg</t>
    </r>
    <r>
      <rPr>
        <vertAlign val="subscript"/>
        <sz val="10"/>
        <rFont val="Arial"/>
        <family val="2"/>
      </rPr>
      <t>aire</t>
    </r>
  </si>
  <si>
    <t>Caudal de aire exterior (m³/h)</t>
  </si>
  <si>
    <t>Entrada de aire por la apertura (m³)</t>
  </si>
  <si>
    <t>Potencia de entrada de aire</t>
  </si>
  <si>
    <t>kW por apertura de puerta</t>
  </si>
  <si>
    <t>Energía por apertura de puerta</t>
  </si>
  <si>
    <t>Vapor introducido por hora</t>
  </si>
  <si>
    <t>Vapor introducido por día</t>
  </si>
  <si>
    <t>kg/día</t>
  </si>
  <si>
    <t>kJ por el tiempo de apertura de la puerta</t>
  </si>
  <si>
    <t xml:space="preserve">kJ por el tiempo de apertura </t>
  </si>
  <si>
    <t xml:space="preserve">kW por apertura </t>
  </si>
  <si>
    <t>Cantidad de horas al día con movimiento de apertura y cierre de puerta</t>
  </si>
  <si>
    <t>4/ Cantidad de deshielo</t>
  </si>
  <si>
    <t>2.1 Característica geométricas</t>
  </si>
  <si>
    <t>2.2 Condiciones de apertura de la puerta</t>
  </si>
  <si>
    <t>Actualmente, cantidad de procesos de deshielo por día:</t>
  </si>
  <si>
    <t>Con las optimización, cantidad de procesos de deshielo</t>
  </si>
  <si>
    <t>optimizado</t>
  </si>
  <si>
    <t>actual</t>
  </si>
  <si>
    <t>Este cálculo aplica únicamente cuando la temperatura de la cámara de refrigeración es inferior o igual a 4°C</t>
  </si>
  <si>
    <t>Volumen de escarche / hielo debido a las aperturas de puerta</t>
  </si>
  <si>
    <t>6.1 Situación actual</t>
  </si>
  <si>
    <t>Energía eléctrica requerida para los procesos de deshielo</t>
  </si>
  <si>
    <t>Energía frigorífica para compensar el proceso de deshielo</t>
  </si>
  <si>
    <t>(Energía adicional consumida por el evaporador despues del proceso de deshielo, debido al calentamiento de las partes metálicas y a la evaporación parcial del escarche / hielo durante este proceso. El agua resultante del proceso de deshielo es drenada fuera de la cámara y no contribuye a incrementar la energía interior.)</t>
  </si>
  <si>
    <t>kWh/día</t>
  </si>
  <si>
    <t>6.2 Situación optimizada</t>
  </si>
  <si>
    <t>Peso del o los evaporadores:</t>
  </si>
  <si>
    <r>
      <t>Emisiones anuales de CO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evitadas:</t>
    </r>
  </si>
  <si>
    <t>(En caso de desconocer el valor, dividir el costo anual de la electricidad (suma de recibos mensuales de CFE) entre el consumo anual total en 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</si>
</sst>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"/>
    <numFmt numFmtId="165" formatCode="0.0"/>
    <numFmt numFmtId="166" formatCode="_-* #,##0_-;\-* #,##0_-;_-* &quot;-&quot;??_-;_-@_-"/>
    <numFmt numFmtId="167" formatCode="#,##0\ &quot;FB&quot;"/>
    <numFmt numFmtId="168" formatCode="_-* #,##0.00\ &quot;FB&quot;_-;\-* #,##0.00\ &quot;FB&quot;_-;_-* &quot;-&quot;??\ &quot;FB&quot;_-;_-@_-"/>
    <numFmt numFmtId="169" formatCode="_-* #,##0\ &quot;FB&quot;_-;\-* #,##0\ &quot;FB&quot;_-;_-* &quot;-&quot;??\ &quot;FB&quot;_-;_-@_-"/>
    <numFmt numFmtId="170" formatCode="#,##0.0"/>
    <numFmt numFmtId="171" formatCode="&quot;En supposant &quot;0\ &quot;ouvertures/fermetures par heure pendant une journée continue de 24 h,&quot;"/>
    <numFmt numFmtId="172" formatCode="0.00\ &quot;m&quot;"/>
    <numFmt numFmtId="173" formatCode="_-* #,##0\ _F_B_-;\-* #,##0\ _F_B_-;_-* &quot;-&quot;\ _F_B_-;_-@_-"/>
    <numFmt numFmtId="174" formatCode="0\ &quot;P&quot;"/>
    <numFmt numFmtId="175" formatCode="0.00\ &quot;m²&quot;"/>
    <numFmt numFmtId="176" formatCode="_-&quot;$&quot;* #,##0_-;\-&quot;$&quot;* #,##0_-;_-&quot;$&quot;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1"/>
      <color theme="1"/>
      <name val="Arial"/>
      <family val="2"/>
    </font>
    <font>
      <i/>
      <sz val="11"/>
      <color rgb="FF0070C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"/>
      <name val="Arial"/>
      <family val="2"/>
    </font>
    <font>
      <b/>
      <sz val="10"/>
      <color theme="1"/>
      <name val="Arial"/>
      <family val="2"/>
    </font>
    <font>
      <i/>
      <sz val="11"/>
      <color theme="1"/>
      <name val="Arial"/>
      <family val="2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name val="Times New Roman"/>
      <family val="1"/>
    </font>
    <font>
      <b/>
      <sz val="11"/>
      <color indexed="48"/>
      <name val="Arial"/>
      <family val="2"/>
    </font>
    <font>
      <sz val="10"/>
      <name val="Symbol"/>
      <family val="1"/>
      <charset val="2"/>
    </font>
    <font>
      <i/>
      <sz val="10"/>
      <color indexed="48"/>
      <name val="Arial"/>
      <family val="2"/>
    </font>
    <font>
      <i/>
      <sz val="10"/>
      <name val="Arial"/>
      <family val="2"/>
    </font>
    <font>
      <b/>
      <sz val="11"/>
      <color rgb="FFFF0000"/>
      <name val="Arial"/>
      <family val="2"/>
    </font>
    <font>
      <b/>
      <sz val="11"/>
      <color indexed="10"/>
      <name val="Arial"/>
      <family val="2"/>
    </font>
    <font>
      <sz val="11"/>
      <name val="Symbol"/>
      <family val="1"/>
      <charset val="2"/>
    </font>
    <font>
      <vertAlign val="superscript"/>
      <sz val="11"/>
      <name val="Arial"/>
      <family val="2"/>
    </font>
    <font>
      <vertAlign val="subscript"/>
      <sz val="11"/>
      <name val="Arial"/>
      <family val="2"/>
    </font>
    <font>
      <b/>
      <vertAlign val="subscript"/>
      <sz val="11"/>
      <color rgb="FFFF0000"/>
      <name val="Arial"/>
      <family val="2"/>
    </font>
    <font>
      <u/>
      <sz val="11"/>
      <color theme="10"/>
      <name val="Calibri"/>
      <family val="2"/>
      <scheme val="minor"/>
    </font>
    <font>
      <sz val="6"/>
      <name val="ZapfDingbats"/>
      <family val="5"/>
      <charset val="2"/>
    </font>
    <font>
      <sz val="10"/>
      <color indexed="10"/>
      <name val="Arial"/>
      <family val="2"/>
    </font>
    <font>
      <vertAlign val="subscript"/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1"/>
      <name val="Arial"/>
      <family val="2"/>
    </font>
    <font>
      <b/>
      <sz val="11"/>
      <color indexed="12"/>
      <name val="Arial"/>
      <family val="2"/>
    </font>
    <font>
      <i/>
      <sz val="11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name val="Arial"/>
      <family val="2"/>
    </font>
    <font>
      <sz val="11"/>
      <color rgb="FFFF0000"/>
      <name val="Arial"/>
      <family val="2"/>
    </font>
    <font>
      <u/>
      <sz val="11"/>
      <color rgb="FF0070C0"/>
      <name val="Arial"/>
      <family val="2"/>
    </font>
    <font>
      <i/>
      <sz val="11"/>
      <color rgb="FFFF0000"/>
      <name val="Arial"/>
      <family val="2"/>
    </font>
    <font>
      <i/>
      <sz val="9"/>
      <name val="Arial"/>
      <family val="2"/>
    </font>
    <font>
      <sz val="10"/>
      <color theme="1"/>
      <name val="Times New Roman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b/>
      <vertAlign val="subscript"/>
      <sz val="11"/>
      <color theme="1"/>
      <name val="Arial"/>
      <family val="2"/>
    </font>
    <font>
      <b/>
      <u/>
      <sz val="11"/>
      <name val="Arial"/>
      <family val="2"/>
    </font>
    <font>
      <sz val="11"/>
      <color indexed="10"/>
      <name val="Arial"/>
      <family val="2"/>
    </font>
    <font>
      <i/>
      <sz val="11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11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20" fillId="0" borderId="0" applyFont="0" applyFill="0" applyBorder="0" applyAlignment="0" applyProtection="0"/>
    <xf numFmtId="0" fontId="21" fillId="0" borderId="0"/>
    <xf numFmtId="0" fontId="37" fillId="0" borderId="0" applyNumberFormat="0" applyFill="0" applyBorder="0" applyAlignment="0" applyProtection="0"/>
    <xf numFmtId="0" fontId="25" fillId="0" borderId="0"/>
    <xf numFmtId="168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44" fontId="20" fillId="0" borderId="0" applyFont="0" applyFill="0" applyBorder="0" applyAlignment="0" applyProtection="0"/>
  </cellStyleXfs>
  <cellXfs count="355">
    <xf numFmtId="0" fontId="0" fillId="0" borderId="0" xfId="0"/>
    <xf numFmtId="0" fontId="0" fillId="2" borderId="0" xfId="0" applyFill="1"/>
    <xf numFmtId="0" fontId="3" fillId="2" borderId="0" xfId="0" applyFont="1" applyFill="1"/>
    <xf numFmtId="0" fontId="0" fillId="0" borderId="0" xfId="0"/>
    <xf numFmtId="0" fontId="4" fillId="2" borderId="0" xfId="0" applyFont="1" applyFill="1"/>
    <xf numFmtId="0" fontId="4" fillId="0" borderId="0" xfId="0" applyFont="1"/>
    <xf numFmtId="0" fontId="4" fillId="2" borderId="0" xfId="0" applyFont="1" applyFill="1" applyBorder="1" applyAlignment="1">
      <alignment horizontal="center"/>
    </xf>
    <xf numFmtId="0" fontId="0" fillId="0" borderId="0" xfId="0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2" fillId="2" borderId="0" xfId="0" applyFont="1" applyFill="1"/>
    <xf numFmtId="0" fontId="2" fillId="2" borderId="3" xfId="0" applyFont="1" applyFill="1" applyBorder="1"/>
    <xf numFmtId="0" fontId="10" fillId="2" borderId="3" xfId="0" applyFont="1" applyFill="1" applyBorder="1"/>
    <xf numFmtId="0" fontId="10" fillId="2" borderId="0" xfId="0" applyFont="1" applyFill="1" applyBorder="1"/>
    <xf numFmtId="0" fontId="8" fillId="2" borderId="1" xfId="0" applyFont="1" applyFill="1" applyBorder="1" applyAlignment="1">
      <alignment horizontal="center"/>
    </xf>
    <xf numFmtId="0" fontId="1" fillId="2" borderId="0" xfId="0" applyFont="1" applyFill="1"/>
    <xf numFmtId="0" fontId="8" fillId="2" borderId="1" xfId="0" applyFont="1" applyFill="1" applyBorder="1"/>
    <xf numFmtId="0" fontId="8" fillId="2" borderId="0" xfId="0" applyFont="1" applyFill="1" applyBorder="1"/>
    <xf numFmtId="0" fontId="8" fillId="2" borderId="3" xfId="0" applyFont="1" applyFill="1" applyBorder="1"/>
    <xf numFmtId="0" fontId="1" fillId="2" borderId="0" xfId="0" applyFont="1" applyFill="1" applyBorder="1"/>
    <xf numFmtId="0" fontId="0" fillId="2" borderId="0" xfId="0" applyFill="1" applyBorder="1"/>
    <xf numFmtId="0" fontId="1" fillId="2" borderId="1" xfId="0" applyFont="1" applyFill="1" applyBorder="1"/>
    <xf numFmtId="0" fontId="8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13" fillId="2" borderId="3" xfId="0" applyFont="1" applyFill="1" applyBorder="1"/>
    <xf numFmtId="0" fontId="15" fillId="3" borderId="3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/>
    </xf>
    <xf numFmtId="0" fontId="16" fillId="2" borderId="0" xfId="0" applyFont="1" applyFill="1"/>
    <xf numFmtId="0" fontId="13" fillId="2" borderId="0" xfId="0" applyFont="1" applyFill="1" applyBorder="1"/>
    <xf numFmtId="0" fontId="15" fillId="3" borderId="4" xfId="0" applyFont="1" applyFill="1" applyBorder="1" applyAlignment="1">
      <alignment horizontal="center" vertical="center" wrapText="1"/>
    </xf>
    <xf numFmtId="0" fontId="12" fillId="2" borderId="0" xfId="0" applyFont="1" applyFill="1" applyBorder="1"/>
    <xf numFmtId="0" fontId="17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vertical="center"/>
    </xf>
    <xf numFmtId="0" fontId="1" fillId="2" borderId="3" xfId="0" applyFont="1" applyFill="1" applyBorder="1"/>
    <xf numFmtId="0" fontId="8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8" fillId="2" borderId="1" xfId="0" applyFont="1" applyFill="1" applyBorder="1" applyAlignment="1"/>
    <xf numFmtId="0" fontId="8" fillId="2" borderId="2" xfId="0" applyFont="1" applyFill="1" applyBorder="1"/>
    <xf numFmtId="0" fontId="18" fillId="2" borderId="0" xfId="0" applyFont="1" applyFill="1"/>
    <xf numFmtId="0" fontId="8" fillId="2" borderId="0" xfId="0" applyFont="1" applyFill="1" applyBorder="1" applyAlignment="1"/>
    <xf numFmtId="0" fontId="8" fillId="2" borderId="6" xfId="0" applyFont="1" applyFill="1" applyBorder="1"/>
    <xf numFmtId="0" fontId="0" fillId="2" borderId="0" xfId="0" applyFont="1" applyFill="1"/>
    <xf numFmtId="0" fontId="8" fillId="2" borderId="3" xfId="0" applyFont="1" applyFill="1" applyBorder="1" applyAlignment="1"/>
    <xf numFmtId="0" fontId="19" fillId="2" borderId="0" xfId="0" applyFont="1" applyFill="1"/>
    <xf numFmtId="0" fontId="15" fillId="3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wrapText="1"/>
    </xf>
    <xf numFmtId="0" fontId="21" fillId="0" borderId="0" xfId="2"/>
    <xf numFmtId="0" fontId="21" fillId="0" borderId="0" xfId="2" applyFont="1" applyBorder="1"/>
    <xf numFmtId="0" fontId="21" fillId="0" borderId="0" xfId="2" applyFont="1" applyFill="1" applyBorder="1"/>
    <xf numFmtId="0" fontId="24" fillId="0" borderId="0" xfId="2" applyFont="1" applyFill="1" applyBorder="1"/>
    <xf numFmtId="0" fontId="22" fillId="0" borderId="0" xfId="2" applyFont="1"/>
    <xf numFmtId="0" fontId="30" fillId="0" borderId="0" xfId="2" applyFont="1" applyAlignment="1">
      <alignment horizontal="center"/>
    </xf>
    <xf numFmtId="0" fontId="21" fillId="0" borderId="0" xfId="2" applyAlignment="1"/>
    <xf numFmtId="0" fontId="21" fillId="2" borderId="0" xfId="2" applyFill="1"/>
    <xf numFmtId="0" fontId="21" fillId="2" borderId="0" xfId="2" applyFont="1" applyFill="1" applyBorder="1"/>
    <xf numFmtId="0" fontId="23" fillId="2" borderId="0" xfId="2" applyFont="1" applyFill="1" applyBorder="1" applyAlignment="1">
      <alignment horizontal="center" vertical="justify" wrapText="1"/>
    </xf>
    <xf numFmtId="0" fontId="25" fillId="2" borderId="0" xfId="2" applyFont="1" applyFill="1" applyBorder="1"/>
    <xf numFmtId="0" fontId="22" fillId="2" borderId="0" xfId="2" applyFont="1" applyFill="1"/>
    <xf numFmtId="0" fontId="25" fillId="2" borderId="0" xfId="2" applyFont="1" applyFill="1" applyBorder="1" applyAlignment="1">
      <alignment vertical="center"/>
    </xf>
    <xf numFmtId="0" fontId="25" fillId="2" borderId="0" xfId="2" applyFont="1" applyFill="1" applyBorder="1" applyAlignment="1">
      <alignment vertical="top"/>
    </xf>
    <xf numFmtId="0" fontId="26" fillId="2" borderId="0" xfId="2" applyFont="1" applyFill="1" applyBorder="1"/>
    <xf numFmtId="0" fontId="24" fillId="2" borderId="0" xfId="2" applyFont="1" applyFill="1" applyBorder="1"/>
    <xf numFmtId="0" fontId="21" fillId="2" borderId="0" xfId="2" applyFill="1" applyBorder="1" applyAlignment="1"/>
    <xf numFmtId="0" fontId="25" fillId="2" borderId="0" xfId="2" applyFont="1" applyFill="1" applyBorder="1" applyAlignment="1">
      <alignment horizontal="justify" vertical="top"/>
    </xf>
    <xf numFmtId="0" fontId="21" fillId="2" borderId="0" xfId="2" applyFill="1" applyBorder="1"/>
    <xf numFmtId="0" fontId="15" fillId="2" borderId="0" xfId="2" applyFont="1" applyFill="1" applyBorder="1" applyAlignment="1">
      <alignment vertical="top"/>
    </xf>
    <xf numFmtId="0" fontId="15" fillId="2" borderId="0" xfId="2" applyFont="1" applyFill="1" applyBorder="1" applyAlignment="1"/>
    <xf numFmtId="0" fontId="15" fillId="2" borderId="0" xfId="2" applyFont="1" applyFill="1" applyBorder="1"/>
    <xf numFmtId="0" fontId="21" fillId="2" borderId="0" xfId="2" applyFill="1" applyBorder="1" applyAlignment="1">
      <alignment horizontal="center"/>
    </xf>
    <xf numFmtId="2" fontId="21" fillId="2" borderId="0" xfId="2" applyNumberFormat="1" applyFill="1" applyBorder="1" applyAlignment="1">
      <alignment horizontal="center"/>
    </xf>
    <xf numFmtId="0" fontId="25" fillId="2" borderId="0" xfId="2" applyFont="1" applyFill="1" applyBorder="1" applyAlignment="1"/>
    <xf numFmtId="0" fontId="25" fillId="2" borderId="0" xfId="2" applyFont="1" applyFill="1" applyBorder="1" applyAlignment="1">
      <alignment horizontal="left"/>
    </xf>
    <xf numFmtId="0" fontId="21" fillId="2" borderId="0" xfId="2" applyFont="1" applyFill="1" applyBorder="1" applyAlignment="1">
      <alignment vertical="center"/>
    </xf>
    <xf numFmtId="0" fontId="21" fillId="2" borderId="0" xfId="2" applyFont="1" applyFill="1" applyBorder="1" applyAlignment="1">
      <alignment vertical="top"/>
    </xf>
    <xf numFmtId="0" fontId="11" fillId="2" borderId="0" xfId="0" applyFont="1" applyFill="1" applyAlignment="1">
      <alignment vertical="center"/>
    </xf>
    <xf numFmtId="0" fontId="21" fillId="2" borderId="0" xfId="2" applyFont="1" applyFill="1" applyBorder="1" applyAlignment="1">
      <alignment horizontal="justify" vertical="top"/>
    </xf>
    <xf numFmtId="0" fontId="21" fillId="2" borderId="0" xfId="2" applyFont="1" applyFill="1" applyBorder="1" applyAlignment="1"/>
    <xf numFmtId="0" fontId="21" fillId="2" borderId="0" xfId="2" applyFont="1" applyFill="1" applyBorder="1" applyAlignment="1">
      <alignment horizontal="center"/>
    </xf>
    <xf numFmtId="4" fontId="32" fillId="2" borderId="0" xfId="2" applyNumberFormat="1" applyFont="1" applyFill="1" applyBorder="1" applyAlignment="1">
      <alignment horizontal="center" vertical="center"/>
    </xf>
    <xf numFmtId="0" fontId="21" fillId="2" borderId="0" xfId="2" applyFont="1" applyFill="1"/>
    <xf numFmtId="2" fontId="21" fillId="2" borderId="0" xfId="2" applyNumberFormat="1" applyFont="1" applyFill="1" applyBorder="1" applyAlignment="1">
      <alignment horizontal="center"/>
    </xf>
    <xf numFmtId="165" fontId="27" fillId="5" borderId="1" xfId="2" applyNumberFormat="1" applyFont="1" applyFill="1" applyBorder="1" applyAlignment="1">
      <alignment horizontal="center"/>
    </xf>
    <xf numFmtId="0" fontId="21" fillId="2" borderId="0" xfId="2" applyFont="1" applyFill="1" applyBorder="1" applyAlignment="1">
      <alignment horizontal="left"/>
    </xf>
    <xf numFmtId="0" fontId="21" fillId="2" borderId="0" xfId="2" applyFill="1" applyBorder="1" applyAlignment="1">
      <alignment horizontal="justify" vertical="top"/>
    </xf>
    <xf numFmtId="0" fontId="28" fillId="2" borderId="0" xfId="2" applyFont="1" applyFill="1" applyBorder="1" applyAlignment="1">
      <alignment horizontal="center"/>
    </xf>
    <xf numFmtId="164" fontId="29" fillId="2" borderId="0" xfId="2" applyNumberFormat="1" applyFont="1" applyFill="1" applyBorder="1" applyAlignment="1">
      <alignment horizontal="center"/>
    </xf>
    <xf numFmtId="0" fontId="25" fillId="2" borderId="0" xfId="2" applyFont="1" applyFill="1" applyBorder="1" applyAlignment="1">
      <alignment horizontal="center"/>
    </xf>
    <xf numFmtId="165" fontId="25" fillId="2" borderId="0" xfId="2" applyNumberFormat="1" applyFont="1" applyFill="1" applyBorder="1" applyAlignment="1">
      <alignment horizontal="center"/>
    </xf>
    <xf numFmtId="14" fontId="21" fillId="2" borderId="0" xfId="2" applyNumberFormat="1" applyFill="1" applyBorder="1" applyAlignment="1">
      <alignment horizontal="center"/>
    </xf>
    <xf numFmtId="2" fontId="25" fillId="2" borderId="0" xfId="2" applyNumberFormat="1" applyFont="1" applyFill="1" applyBorder="1" applyAlignment="1">
      <alignment horizontal="center"/>
    </xf>
    <xf numFmtId="0" fontId="33" fillId="2" borderId="0" xfId="2" applyFont="1" applyFill="1" applyBorder="1" applyAlignment="1">
      <alignment horizontal="center"/>
    </xf>
    <xf numFmtId="0" fontId="30" fillId="2" borderId="0" xfId="2" applyFont="1" applyFill="1" applyBorder="1" applyAlignment="1">
      <alignment vertical="top"/>
    </xf>
    <xf numFmtId="0" fontId="21" fillId="2" borderId="0" xfId="0" applyFont="1" applyFill="1" applyAlignment="1">
      <alignment vertical="center"/>
    </xf>
    <xf numFmtId="0" fontId="22" fillId="2" borderId="0" xfId="2" applyFont="1" applyFill="1" applyBorder="1"/>
    <xf numFmtId="0" fontId="22" fillId="2" borderId="0" xfId="2" applyFont="1" applyFill="1" applyBorder="1" applyAlignment="1"/>
    <xf numFmtId="0" fontId="29" fillId="2" borderId="0" xfId="2" applyFont="1" applyFill="1" applyBorder="1" applyAlignment="1">
      <alignment horizontal="center"/>
    </xf>
    <xf numFmtId="165" fontId="27" fillId="2" borderId="0" xfId="2" applyNumberFormat="1" applyFont="1" applyFill="1" applyBorder="1" applyAlignment="1">
      <alignment horizontal="center"/>
    </xf>
    <xf numFmtId="0" fontId="23" fillId="2" borderId="0" xfId="2" applyFont="1" applyFill="1" applyBorder="1"/>
    <xf numFmtId="0" fontId="21" fillId="2" borderId="0" xfId="2" applyFont="1" applyFill="1" applyBorder="1" applyAlignment="1">
      <alignment horizontal="center" vertical="justify" wrapText="1"/>
    </xf>
    <xf numFmtId="0" fontId="21" fillId="2" borderId="0" xfId="2" quotePrefix="1" applyFont="1" applyFill="1" applyBorder="1"/>
    <xf numFmtId="0" fontId="33" fillId="2" borderId="0" xfId="2" applyFont="1" applyFill="1" applyBorder="1"/>
    <xf numFmtId="0" fontId="21" fillId="2" borderId="0" xfId="2" applyFont="1" applyFill="1" applyBorder="1" applyAlignment="1">
      <alignment horizontal="left" vertical="justify" wrapText="1"/>
    </xf>
    <xf numFmtId="0" fontId="21" fillId="2" borderId="0" xfId="2" applyFont="1" applyFill="1" applyBorder="1" applyAlignment="1">
      <alignment vertical="justify" wrapText="1"/>
    </xf>
    <xf numFmtId="1" fontId="21" fillId="2" borderId="0" xfId="2" applyNumberFormat="1" applyFont="1" applyFill="1" applyBorder="1" applyAlignment="1">
      <alignment vertical="center"/>
    </xf>
    <xf numFmtId="166" fontId="31" fillId="2" borderId="0" xfId="1" applyNumberFormat="1" applyFont="1" applyFill="1" applyBorder="1" applyAlignment="1">
      <alignment horizontal="left" vertical="justify" wrapText="1"/>
    </xf>
    <xf numFmtId="166" fontId="31" fillId="2" borderId="0" xfId="1" applyNumberFormat="1" applyFont="1" applyFill="1" applyBorder="1" applyAlignment="1">
      <alignment vertical="center" wrapText="1"/>
    </xf>
    <xf numFmtId="166" fontId="31" fillId="2" borderId="0" xfId="1" applyNumberFormat="1" applyFont="1" applyFill="1" applyBorder="1" applyAlignment="1">
      <alignment horizontal="left" vertical="center" wrapText="1"/>
    </xf>
    <xf numFmtId="0" fontId="37" fillId="2" borderId="0" xfId="3" applyFill="1" applyBorder="1" applyAlignment="1">
      <alignment horizontal="left" vertical="justify" wrapText="1"/>
    </xf>
    <xf numFmtId="166" fontId="31" fillId="2" borderId="0" xfId="2" applyNumberFormat="1" applyFont="1" applyFill="1" applyBorder="1" applyAlignment="1">
      <alignment horizontal="center" vertical="justify" wrapText="1"/>
    </xf>
    <xf numFmtId="0" fontId="31" fillId="2" borderId="0" xfId="2" applyFont="1" applyFill="1" applyBorder="1" applyAlignment="1">
      <alignment horizontal="center" vertical="justify" wrapText="1"/>
    </xf>
    <xf numFmtId="1" fontId="21" fillId="2" borderId="0" xfId="2" applyNumberFormat="1" applyFont="1" applyFill="1" applyBorder="1" applyAlignment="1">
      <alignment horizontal="center" vertical="center"/>
    </xf>
    <xf numFmtId="166" fontId="31" fillId="2" borderId="0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horizontal="center" vertical="top"/>
    </xf>
    <xf numFmtId="0" fontId="25" fillId="0" borderId="0" xfId="4" applyAlignment="1">
      <alignment vertical="top"/>
    </xf>
    <xf numFmtId="0" fontId="25" fillId="0" borderId="0" xfId="4" applyAlignment="1">
      <alignment horizontal="justify" vertical="top" wrapText="1" shrinkToFit="1"/>
    </xf>
    <xf numFmtId="0" fontId="25" fillId="0" borderId="0" xfId="4" applyAlignment="1">
      <alignment horizontal="center" vertical="top"/>
    </xf>
    <xf numFmtId="167" fontId="25" fillId="0" borderId="0" xfId="4" applyNumberFormat="1" applyAlignment="1">
      <alignment vertical="top"/>
    </xf>
    <xf numFmtId="169" fontId="15" fillId="0" borderId="0" xfId="5" applyNumberFormat="1" applyFont="1" applyAlignment="1">
      <alignment horizontal="center" vertical="top"/>
    </xf>
    <xf numFmtId="0" fontId="25" fillId="0" borderId="0" xfId="4"/>
    <xf numFmtId="0" fontId="25" fillId="0" borderId="0" xfId="4" applyBorder="1" applyAlignment="1">
      <alignment vertical="top"/>
    </xf>
    <xf numFmtId="0" fontId="25" fillId="0" borderId="0" xfId="4" applyBorder="1" applyAlignment="1">
      <alignment horizontal="justify" vertical="top" wrapText="1"/>
    </xf>
    <xf numFmtId="0" fontId="15" fillId="0" borderId="0" xfId="4" applyFont="1" applyBorder="1" applyAlignment="1">
      <alignment vertical="top"/>
    </xf>
    <xf numFmtId="0" fontId="25" fillId="0" borderId="0" xfId="4" applyFill="1" applyBorder="1" applyAlignment="1">
      <alignment horizontal="center" vertical="top"/>
    </xf>
    <xf numFmtId="0" fontId="25" fillId="0" borderId="0" xfId="4" applyBorder="1" applyAlignment="1">
      <alignment horizontal="center" vertical="top"/>
    </xf>
    <xf numFmtId="0" fontId="25" fillId="0" borderId="0" xfId="4" applyBorder="1" applyAlignment="1">
      <alignment horizontal="justify" vertical="top" wrapText="1" shrinkToFit="1"/>
    </xf>
    <xf numFmtId="172" fontId="25" fillId="0" borderId="0" xfId="4" applyNumberFormat="1" applyBorder="1" applyAlignment="1">
      <alignment horizontal="center" vertical="top"/>
    </xf>
    <xf numFmtId="167" fontId="25" fillId="0" borderId="0" xfId="4" applyNumberFormat="1" applyBorder="1" applyAlignment="1">
      <alignment vertical="top"/>
    </xf>
    <xf numFmtId="169" fontId="15" fillId="0" borderId="0" xfId="5" applyNumberFormat="1" applyFont="1" applyBorder="1" applyAlignment="1">
      <alignment horizontal="center" vertical="top"/>
    </xf>
    <xf numFmtId="0" fontId="25" fillId="0" borderId="0" xfId="4" applyFill="1" applyBorder="1" applyAlignment="1">
      <alignment vertical="top"/>
    </xf>
    <xf numFmtId="174" fontId="25" fillId="0" borderId="0" xfId="4" applyNumberFormat="1" applyBorder="1" applyAlignment="1">
      <alignment horizontal="center" vertical="top"/>
    </xf>
    <xf numFmtId="0" fontId="15" fillId="0" borderId="0" xfId="4" applyFont="1" applyBorder="1" applyAlignment="1">
      <alignment horizontal="center" vertical="top"/>
    </xf>
    <xf numFmtId="0" fontId="15" fillId="0" borderId="0" xfId="4" applyFont="1" applyBorder="1" applyAlignment="1">
      <alignment horizontal="justify" vertical="top" wrapText="1" shrinkToFit="1"/>
    </xf>
    <xf numFmtId="167" fontId="15" fillId="0" borderId="0" xfId="4" applyNumberFormat="1" applyFont="1" applyBorder="1" applyAlignment="1">
      <alignment vertical="top"/>
    </xf>
    <xf numFmtId="0" fontId="15" fillId="0" borderId="0" xfId="4" applyFont="1" applyAlignment="1">
      <alignment vertical="top"/>
    </xf>
    <xf numFmtId="175" fontId="25" fillId="0" borderId="0" xfId="4" applyNumberFormat="1" applyBorder="1" applyAlignment="1">
      <alignment horizontal="center" vertical="top"/>
    </xf>
    <xf numFmtId="167" fontId="0" fillId="0" borderId="0" xfId="5" applyNumberFormat="1" applyFont="1" applyBorder="1" applyAlignment="1">
      <alignment vertical="top"/>
    </xf>
    <xf numFmtId="169" fontId="25" fillId="0" borderId="0" xfId="5" applyNumberFormat="1" applyFont="1" applyBorder="1" applyAlignment="1">
      <alignment horizontal="center" vertical="top"/>
    </xf>
    <xf numFmtId="0" fontId="15" fillId="0" borderId="0" xfId="4" applyFont="1" applyBorder="1" applyAlignment="1">
      <alignment horizontal="left" vertical="top"/>
    </xf>
    <xf numFmtId="167" fontId="15" fillId="0" borderId="0" xfId="5" applyNumberFormat="1" applyFont="1" applyBorder="1" applyAlignment="1">
      <alignment vertical="top"/>
    </xf>
    <xf numFmtId="167" fontId="15" fillId="0" borderId="0" xfId="4" applyNumberFormat="1" applyFont="1" applyBorder="1" applyAlignment="1">
      <alignment horizontal="center" vertical="top"/>
    </xf>
    <xf numFmtId="0" fontId="25" fillId="0" borderId="0" xfId="4" applyFill="1" applyBorder="1" applyAlignment="1">
      <alignment horizontal="justify" vertical="top" wrapText="1" shrinkToFit="1"/>
    </xf>
    <xf numFmtId="167" fontId="25" fillId="0" borderId="0" xfId="4" applyNumberFormat="1" applyFill="1" applyBorder="1" applyAlignment="1">
      <alignment vertical="top"/>
    </xf>
    <xf numFmtId="169" fontId="15" fillId="0" borderId="0" xfId="5" applyNumberFormat="1" applyFont="1" applyFill="1" applyBorder="1" applyAlignment="1">
      <alignment horizontal="center" vertical="top"/>
    </xf>
    <xf numFmtId="0" fontId="0" fillId="3" borderId="0" xfId="0" applyFill="1"/>
    <xf numFmtId="0" fontId="9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10" fillId="3" borderId="0" xfId="0" applyFont="1" applyFill="1"/>
    <xf numFmtId="0" fontId="8" fillId="3" borderId="0" xfId="0" applyFont="1" applyFill="1"/>
    <xf numFmtId="0" fontId="10" fillId="3" borderId="0" xfId="0" applyFont="1" applyFill="1" applyBorder="1"/>
    <xf numFmtId="0" fontId="2" fillId="3" borderId="0" xfId="0" applyFont="1" applyFill="1"/>
    <xf numFmtId="0" fontId="24" fillId="2" borderId="0" xfId="2" applyFont="1" applyFill="1" applyAlignment="1">
      <alignment horizontal="center" wrapText="1"/>
    </xf>
    <xf numFmtId="0" fontId="24" fillId="2" borderId="0" xfId="2" applyFont="1" applyFill="1" applyAlignment="1">
      <alignment horizontal="center"/>
    </xf>
    <xf numFmtId="0" fontId="24" fillId="2" borderId="0" xfId="2" applyFont="1" applyFill="1" applyAlignment="1"/>
    <xf numFmtId="0" fontId="25" fillId="2" borderId="0" xfId="4" applyFill="1" applyBorder="1" applyAlignment="1">
      <alignment vertical="top"/>
    </xf>
    <xf numFmtId="0" fontId="15" fillId="2" borderId="0" xfId="4" applyFont="1" applyFill="1" applyBorder="1" applyAlignment="1">
      <alignment horizontal="center" vertical="top"/>
    </xf>
    <xf numFmtId="0" fontId="25" fillId="2" borderId="0" xfId="4" applyFill="1" applyBorder="1" applyAlignment="1">
      <alignment horizontal="justify" vertical="top" wrapText="1" shrinkToFit="1"/>
    </xf>
    <xf numFmtId="0" fontId="25" fillId="2" borderId="0" xfId="4" applyFill="1" applyBorder="1" applyAlignment="1">
      <alignment horizontal="center" vertical="top"/>
    </xf>
    <xf numFmtId="167" fontId="25" fillId="2" borderId="0" xfId="4" applyNumberFormat="1" applyFill="1" applyBorder="1" applyAlignment="1">
      <alignment vertical="top"/>
    </xf>
    <xf numFmtId="169" fontId="15" fillId="2" borderId="0" xfId="5" applyNumberFormat="1" applyFont="1" applyFill="1" applyBorder="1" applyAlignment="1">
      <alignment horizontal="center" vertical="top"/>
    </xf>
    <xf numFmtId="0" fontId="25" fillId="2" borderId="0" xfId="4" applyFill="1" applyBorder="1" applyAlignment="1">
      <alignment horizontal="left" vertical="top"/>
    </xf>
    <xf numFmtId="0" fontId="23" fillId="2" borderId="0" xfId="4" applyFont="1" applyFill="1" applyBorder="1" applyAlignment="1">
      <alignment horizontal="center" vertical="top"/>
    </xf>
    <xf numFmtId="0" fontId="21" fillId="2" borderId="0" xfId="4" applyFont="1" applyFill="1" applyBorder="1" applyAlignment="1">
      <alignment vertical="top"/>
    </xf>
    <xf numFmtId="0" fontId="21" fillId="2" borderId="0" xfId="4" applyFont="1" applyFill="1" applyBorder="1" applyAlignment="1">
      <alignment horizontal="justify" vertical="top" wrapText="1" shrinkToFit="1"/>
    </xf>
    <xf numFmtId="0" fontId="21" fillId="2" borderId="0" xfId="4" applyFont="1" applyFill="1" applyBorder="1" applyAlignment="1">
      <alignment horizontal="center" vertical="top"/>
    </xf>
    <xf numFmtId="167" fontId="21" fillId="2" borderId="0" xfId="4" applyNumberFormat="1" applyFont="1" applyFill="1" applyBorder="1" applyAlignment="1">
      <alignment vertical="top"/>
    </xf>
    <xf numFmtId="169" fontId="23" fillId="2" borderId="0" xfId="5" applyNumberFormat="1" applyFont="1" applyFill="1" applyBorder="1" applyAlignment="1">
      <alignment horizontal="center" vertical="top"/>
    </xf>
    <xf numFmtId="0" fontId="21" fillId="2" borderId="0" xfId="4" applyFont="1" applyFill="1" applyBorder="1" applyAlignment="1">
      <alignment horizontal="left" vertical="top"/>
    </xf>
    <xf numFmtId="0" fontId="42" fillId="2" borderId="0" xfId="4" applyFont="1" applyFill="1" applyBorder="1" applyAlignment="1">
      <alignment horizontal="left" vertical="top"/>
    </xf>
    <xf numFmtId="0" fontId="25" fillId="2" borderId="0" xfId="4" applyFill="1" applyBorder="1" applyAlignment="1">
      <alignment horizontal="justify" vertical="top" wrapText="1"/>
    </xf>
    <xf numFmtId="0" fontId="25" fillId="2" borderId="0" xfId="4" applyFill="1" applyBorder="1" applyAlignment="1">
      <alignment horizontal="center" vertical="top" wrapText="1" shrinkToFit="1"/>
    </xf>
    <xf numFmtId="0" fontId="30" fillId="2" borderId="0" xfId="4" applyFont="1" applyFill="1" applyBorder="1" applyAlignment="1">
      <alignment horizontal="justify" vertical="top" wrapText="1"/>
    </xf>
    <xf numFmtId="0" fontId="21" fillId="2" borderId="0" xfId="4" applyFont="1" applyFill="1" applyBorder="1" applyAlignment="1">
      <alignment horizontal="justify" vertical="top" wrapText="1"/>
    </xf>
    <xf numFmtId="0" fontId="21" fillId="2" borderId="0" xfId="4" applyFont="1" applyFill="1" applyBorder="1" applyAlignment="1">
      <alignment horizontal="center" vertical="top" wrapText="1" shrinkToFit="1"/>
    </xf>
    <xf numFmtId="0" fontId="21" fillId="2" borderId="0" xfId="4" applyFont="1" applyFill="1" applyBorder="1" applyAlignment="1">
      <alignment horizontal="center" vertical="center"/>
    </xf>
    <xf numFmtId="0" fontId="21" fillId="2" borderId="0" xfId="4" applyFont="1" applyFill="1" applyBorder="1" applyAlignment="1">
      <alignment horizontal="justify" vertical="center" wrapText="1"/>
    </xf>
    <xf numFmtId="2" fontId="21" fillId="2" borderId="1" xfId="2" applyNumberFormat="1" applyFont="1" applyFill="1" applyBorder="1" applyAlignment="1">
      <alignment horizontal="center"/>
    </xf>
    <xf numFmtId="0" fontId="45" fillId="2" borderId="0" xfId="0" applyFont="1" applyFill="1" applyAlignment="1">
      <alignment vertical="center"/>
    </xf>
    <xf numFmtId="0" fontId="21" fillId="2" borderId="0" xfId="2" applyFont="1" applyFill="1" applyAlignment="1">
      <alignment wrapText="1"/>
    </xf>
    <xf numFmtId="0" fontId="31" fillId="2" borderId="0" xfId="2" applyFont="1" applyFill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1" fillId="2" borderId="0" xfId="0" applyFont="1" applyFill="1"/>
    <xf numFmtId="0" fontId="49" fillId="2" borderId="0" xfId="0" applyFont="1" applyFill="1"/>
    <xf numFmtId="0" fontId="1" fillId="2" borderId="0" xfId="0" applyFont="1" applyFill="1" applyBorder="1" applyAlignment="1">
      <alignment horizontal="left" vertical="center" indent="1"/>
    </xf>
    <xf numFmtId="0" fontId="1" fillId="2" borderId="0" xfId="0" applyFont="1" applyFill="1" applyBorder="1" applyAlignment="1">
      <alignment horizontal="center"/>
    </xf>
    <xf numFmtId="0" fontId="24" fillId="2" borderId="0" xfId="2" applyFont="1" applyFill="1" applyBorder="1" applyAlignment="1">
      <alignment horizontal="center"/>
    </xf>
    <xf numFmtId="0" fontId="16" fillId="2" borderId="0" xfId="0" applyFont="1" applyFill="1" applyBorder="1" applyAlignment="1">
      <alignment horizontal="left" vertical="center" indent="1"/>
    </xf>
    <xf numFmtId="0" fontId="47" fillId="2" borderId="0" xfId="0" applyFont="1" applyFill="1" applyBorder="1" applyAlignment="1">
      <alignment horizontal="left" vertical="center" indent="1"/>
    </xf>
    <xf numFmtId="0" fontId="47" fillId="2" borderId="0" xfId="0" applyFont="1" applyFill="1"/>
    <xf numFmtId="0" fontId="45" fillId="2" borderId="0" xfId="0" applyFont="1" applyFill="1" applyAlignment="1">
      <alignment horizontal="left" vertical="center"/>
    </xf>
    <xf numFmtId="0" fontId="23" fillId="2" borderId="0" xfId="2" applyFont="1" applyFill="1" applyAlignment="1">
      <alignment horizontal="left" vertical="center" wrapText="1"/>
    </xf>
    <xf numFmtId="0" fontId="50" fillId="2" borderId="0" xfId="2" applyFont="1" applyFill="1" applyAlignment="1">
      <alignment horizontal="center"/>
    </xf>
    <xf numFmtId="0" fontId="50" fillId="2" borderId="0" xfId="2" applyFont="1" applyFill="1" applyAlignment="1">
      <alignment horizontal="left"/>
    </xf>
    <xf numFmtId="0" fontId="16" fillId="2" borderId="0" xfId="0" applyFont="1" applyFill="1" applyAlignment="1">
      <alignment horizontal="left" vertical="center"/>
    </xf>
    <xf numFmtId="9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8" fillId="2" borderId="2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5" borderId="1" xfId="0" applyFont="1" applyFill="1" applyBorder="1"/>
    <xf numFmtId="0" fontId="45" fillId="2" borderId="0" xfId="0" applyFont="1" applyFill="1"/>
    <xf numFmtId="0" fontId="21" fillId="2" borderId="0" xfId="0" applyFont="1" applyFill="1"/>
    <xf numFmtId="0" fontId="31" fillId="2" borderId="0" xfId="0" applyFont="1" applyFill="1"/>
    <xf numFmtId="0" fontId="52" fillId="6" borderId="3" xfId="0" applyFont="1" applyFill="1" applyBorder="1" applyAlignment="1">
      <alignment horizontal="center" vertical="center" wrapText="1"/>
    </xf>
    <xf numFmtId="0" fontId="53" fillId="7" borderId="3" xfId="0" applyFont="1" applyFill="1" applyBorder="1" applyAlignment="1">
      <alignment horizontal="center" vertical="center" wrapText="1"/>
    </xf>
    <xf numFmtId="0" fontId="51" fillId="7" borderId="3" xfId="0" applyFont="1" applyFill="1" applyBorder="1" applyAlignment="1">
      <alignment vertical="center" wrapText="1"/>
    </xf>
    <xf numFmtId="0" fontId="23" fillId="2" borderId="0" xfId="0" applyFont="1" applyFill="1"/>
    <xf numFmtId="0" fontId="13" fillId="2" borderId="0" xfId="0" applyFont="1" applyFill="1"/>
    <xf numFmtId="0" fontId="54" fillId="2" borderId="0" xfId="0" applyFont="1" applyFill="1"/>
    <xf numFmtId="0" fontId="21" fillId="2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5" fillId="3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166" fontId="1" fillId="2" borderId="3" xfId="1" applyNumberFormat="1" applyFont="1" applyFill="1" applyBorder="1" applyAlignment="1">
      <alignment horizontal="center" vertical="center"/>
    </xf>
    <xf numFmtId="176" fontId="1" fillId="2" borderId="3" xfId="7" applyNumberFormat="1" applyFont="1" applyFill="1" applyBorder="1" applyAlignment="1">
      <alignment horizontal="center" vertical="center"/>
    </xf>
    <xf numFmtId="0" fontId="41" fillId="2" borderId="3" xfId="0" applyFont="1" applyFill="1" applyBorder="1"/>
    <xf numFmtId="166" fontId="41" fillId="2" borderId="3" xfId="0" applyNumberFormat="1" applyFont="1" applyFill="1" applyBorder="1"/>
    <xf numFmtId="0" fontId="30" fillId="2" borderId="0" xfId="4" applyFont="1" applyFill="1" applyBorder="1" applyAlignment="1">
      <alignment horizontal="left" vertical="top" wrapText="1"/>
    </xf>
    <xf numFmtId="0" fontId="30" fillId="2" borderId="0" xfId="4" applyFont="1" applyFill="1" applyBorder="1" applyAlignment="1">
      <alignment vertical="top" wrapText="1"/>
    </xf>
    <xf numFmtId="0" fontId="21" fillId="5" borderId="1" xfId="2" applyFont="1" applyFill="1" applyBorder="1" applyAlignment="1">
      <alignment horizontal="center" vertical="justify" wrapText="1"/>
    </xf>
    <xf numFmtId="169" fontId="23" fillId="2" borderId="0" xfId="5" applyNumberFormat="1" applyFont="1" applyFill="1" applyBorder="1" applyAlignment="1">
      <alignment horizontal="center" vertical="center"/>
    </xf>
    <xf numFmtId="0" fontId="21" fillId="2" borderId="0" xfId="4" applyFont="1" applyFill="1" applyBorder="1" applyAlignment="1">
      <alignment vertical="center"/>
    </xf>
    <xf numFmtId="0" fontId="25" fillId="2" borderId="0" xfId="4" applyFill="1" applyBorder="1" applyAlignment="1">
      <alignment vertical="center"/>
    </xf>
    <xf numFmtId="0" fontId="43" fillId="2" borderId="0" xfId="4" applyFont="1" applyFill="1" applyBorder="1" applyAlignment="1">
      <alignment horizontal="center" vertical="center"/>
    </xf>
    <xf numFmtId="0" fontId="25" fillId="2" borderId="0" xfId="4" applyFill="1" applyAlignment="1">
      <alignment vertical="top"/>
    </xf>
    <xf numFmtId="0" fontId="21" fillId="2" borderId="0" xfId="4" applyFont="1" applyFill="1" applyBorder="1" applyAlignment="1">
      <alignment horizontal="left" vertical="center" wrapText="1"/>
    </xf>
    <xf numFmtId="0" fontId="44" fillId="2" borderId="0" xfId="4" applyFont="1" applyFill="1" applyBorder="1" applyAlignment="1">
      <alignment vertical="center" wrapText="1"/>
    </xf>
    <xf numFmtId="0" fontId="39" fillId="2" borderId="0" xfId="4" applyFont="1" applyFill="1" applyBorder="1"/>
    <xf numFmtId="0" fontId="23" fillId="2" borderId="0" xfId="4" applyFont="1" applyFill="1" applyBorder="1" applyAlignment="1">
      <alignment vertical="center"/>
    </xf>
    <xf numFmtId="0" fontId="57" fillId="2" borderId="0" xfId="4" applyFont="1" applyFill="1" applyBorder="1"/>
    <xf numFmtId="171" fontId="21" fillId="2" borderId="0" xfId="4" applyNumberFormat="1" applyFont="1" applyFill="1" applyBorder="1" applyAlignment="1">
      <alignment horizontal="left" vertical="center"/>
    </xf>
    <xf numFmtId="4" fontId="32" fillId="2" borderId="0" xfId="4" applyNumberFormat="1" applyFont="1" applyFill="1" applyBorder="1" applyAlignment="1">
      <alignment horizontal="center" vertical="center"/>
    </xf>
    <xf numFmtId="1" fontId="57" fillId="2" borderId="0" xfId="4" applyNumberFormat="1" applyFont="1" applyFill="1" applyBorder="1" applyAlignment="1">
      <alignment vertical="center"/>
    </xf>
    <xf numFmtId="0" fontId="21" fillId="2" borderId="0" xfId="4" applyFont="1" applyFill="1" applyBorder="1" applyAlignment="1">
      <alignment horizontal="left" vertical="center"/>
    </xf>
    <xf numFmtId="0" fontId="21" fillId="2" borderId="0" xfId="4" applyFont="1" applyFill="1" applyAlignment="1">
      <alignment vertical="top"/>
    </xf>
    <xf numFmtId="0" fontId="31" fillId="2" borderId="0" xfId="4" applyFont="1" applyFill="1" applyBorder="1" applyAlignment="1">
      <alignment vertical="center"/>
    </xf>
    <xf numFmtId="170" fontId="21" fillId="2" borderId="0" xfId="4" applyNumberFormat="1" applyFont="1" applyFill="1" applyBorder="1" applyAlignment="1">
      <alignment horizontal="center" vertical="center"/>
    </xf>
    <xf numFmtId="0" fontId="21" fillId="5" borderId="1" xfId="4" applyFont="1" applyFill="1" applyBorder="1" applyAlignment="1">
      <alignment horizontal="center" vertical="center"/>
    </xf>
    <xf numFmtId="44" fontId="21" fillId="5" borderId="1" xfId="7" applyFont="1" applyFill="1" applyBorder="1" applyAlignment="1">
      <alignment horizontal="center" vertical="center"/>
    </xf>
    <xf numFmtId="0" fontId="15" fillId="2" borderId="0" xfId="4" applyFont="1" applyFill="1" applyAlignment="1">
      <alignment horizontal="center" vertical="top"/>
    </xf>
    <xf numFmtId="0" fontId="15" fillId="2" borderId="0" xfId="4" applyFont="1" applyFill="1" applyBorder="1"/>
    <xf numFmtId="0" fontId="25" fillId="2" borderId="0" xfId="4" applyFont="1" applyFill="1" applyBorder="1"/>
    <xf numFmtId="0" fontId="25" fillId="2" borderId="0" xfId="4" applyFont="1" applyFill="1" applyBorder="1" applyAlignment="1">
      <alignment horizontal="center"/>
    </xf>
    <xf numFmtId="0" fontId="25" fillId="2" borderId="0" xfId="4" applyFill="1" applyBorder="1" applyAlignment="1">
      <alignment horizontal="center" vertical="center" wrapText="1"/>
    </xf>
    <xf numFmtId="0" fontId="25" fillId="2" borderId="0" xfId="4" applyFont="1" applyFill="1" applyBorder="1" applyAlignment="1">
      <alignment vertical="center"/>
    </xf>
    <xf numFmtId="0" fontId="39" fillId="2" borderId="0" xfId="4" applyFont="1" applyFill="1" applyBorder="1" applyAlignment="1">
      <alignment horizontal="center" vertical="top"/>
    </xf>
    <xf numFmtId="0" fontId="25" fillId="2" borderId="0" xfId="4" applyFont="1" applyFill="1" applyBorder="1" applyAlignment="1">
      <alignment vertical="top"/>
    </xf>
    <xf numFmtId="1" fontId="39" fillId="2" borderId="0" xfId="4" applyNumberFormat="1" applyFont="1" applyFill="1" applyBorder="1" applyAlignment="1">
      <alignment horizontal="center" vertical="top"/>
    </xf>
    <xf numFmtId="0" fontId="25" fillId="2" borderId="0" xfId="4" applyFill="1" applyBorder="1" applyAlignment="1">
      <alignment horizontal="left" vertical="top" wrapText="1"/>
    </xf>
    <xf numFmtId="2" fontId="39" fillId="2" borderId="0" xfId="4" applyNumberFormat="1" applyFont="1" applyFill="1" applyBorder="1" applyAlignment="1">
      <alignment horizontal="center" vertical="top"/>
    </xf>
    <xf numFmtId="0" fontId="25" fillId="2" borderId="0" xfId="4" applyFill="1" applyBorder="1"/>
    <xf numFmtId="164" fontId="39" fillId="2" borderId="0" xfId="4" applyNumberFormat="1" applyFont="1" applyFill="1" applyBorder="1" applyAlignment="1">
      <alignment horizontal="center" vertical="top"/>
    </xf>
    <xf numFmtId="1" fontId="39" fillId="8" borderId="0" xfId="6" applyNumberFormat="1" applyFont="1" applyFill="1" applyBorder="1" applyAlignment="1">
      <alignment horizontal="center"/>
    </xf>
    <xf numFmtId="0" fontId="25" fillId="2" borderId="0" xfId="4" applyFont="1" applyFill="1" applyBorder="1" applyAlignment="1">
      <alignment horizontal="center" vertical="top"/>
    </xf>
    <xf numFmtId="2" fontId="39" fillId="8" borderId="0" xfId="4" applyNumberFormat="1" applyFont="1" applyFill="1" applyBorder="1" applyAlignment="1">
      <alignment horizontal="center"/>
    </xf>
    <xf numFmtId="1" fontId="39" fillId="8" borderId="0" xfId="4" applyNumberFormat="1" applyFont="1" applyFill="1" applyBorder="1" applyAlignment="1">
      <alignment horizontal="center"/>
    </xf>
    <xf numFmtId="164" fontId="39" fillId="8" borderId="0" xfId="4" applyNumberFormat="1" applyFont="1" applyFill="1" applyBorder="1" applyAlignment="1">
      <alignment horizontal="center" vertical="top"/>
    </xf>
    <xf numFmtId="173" fontId="39" fillId="8" borderId="0" xfId="6" applyFont="1" applyFill="1" applyBorder="1" applyAlignment="1">
      <alignment horizontal="center" vertical="center"/>
    </xf>
    <xf numFmtId="0" fontId="25" fillId="2" borderId="0" xfId="4" applyFont="1" applyFill="1" applyBorder="1" applyAlignment="1">
      <alignment vertical="center" wrapText="1"/>
    </xf>
    <xf numFmtId="43" fontId="21" fillId="2" borderId="0" xfId="1" applyFont="1" applyFill="1" applyBorder="1" applyAlignment="1">
      <alignment horizontal="center" vertical="center" wrapText="1"/>
    </xf>
    <xf numFmtId="43" fontId="31" fillId="2" borderId="0" xfId="1" applyFont="1" applyFill="1" applyBorder="1" applyAlignment="1">
      <alignment horizontal="center" vertical="center" wrapText="1"/>
    </xf>
    <xf numFmtId="43" fontId="21" fillId="2" borderId="0" xfId="4" applyNumberFormat="1" applyFont="1" applyFill="1" applyBorder="1" applyAlignment="1">
      <alignment horizontal="justify" vertical="center" wrapText="1"/>
    </xf>
    <xf numFmtId="2" fontId="21" fillId="2" borderId="0" xfId="4" applyNumberFormat="1" applyFont="1" applyFill="1" applyBorder="1" applyAlignment="1">
      <alignment horizontal="right" vertical="center" wrapText="1"/>
    </xf>
    <xf numFmtId="0" fontId="21" fillId="2" borderId="1" xfId="2" applyFont="1" applyFill="1" applyBorder="1" applyAlignment="1">
      <alignment horizontal="center" vertical="justify" wrapText="1"/>
    </xf>
    <xf numFmtId="0" fontId="21" fillId="2" borderId="0" xfId="4" applyFont="1" applyFill="1" applyBorder="1" applyAlignment="1">
      <alignment vertical="center" wrapText="1"/>
    </xf>
    <xf numFmtId="0" fontId="23" fillId="2" borderId="0" xfId="4" applyFont="1" applyFill="1" applyBorder="1" applyAlignment="1">
      <alignment horizontal="left" vertical="center"/>
    </xf>
    <xf numFmtId="0" fontId="58" fillId="2" borderId="0" xfId="4" applyFont="1" applyFill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42" fillId="2" borderId="0" xfId="4" applyFont="1" applyFill="1" applyBorder="1" applyAlignment="1">
      <alignment vertical="center"/>
    </xf>
    <xf numFmtId="43" fontId="43" fillId="2" borderId="0" xfId="1" applyFont="1" applyFill="1" applyBorder="1" applyAlignment="1">
      <alignment horizontal="center" vertical="center"/>
    </xf>
    <xf numFmtId="43" fontId="21" fillId="2" borderId="0" xfId="1" applyFont="1" applyFill="1" applyBorder="1" applyAlignment="1">
      <alignment horizontal="center" vertical="center"/>
    </xf>
    <xf numFmtId="0" fontId="21" fillId="2" borderId="0" xfId="4" applyFont="1" applyFill="1" applyBorder="1" applyAlignment="1">
      <alignment wrapText="1"/>
    </xf>
    <xf numFmtId="165" fontId="21" fillId="2" borderId="0" xfId="4" applyNumberFormat="1" applyFont="1" applyFill="1" applyBorder="1" applyAlignment="1">
      <alignment wrapText="1"/>
    </xf>
    <xf numFmtId="43" fontId="21" fillId="2" borderId="0" xfId="1" applyNumberFormat="1" applyFont="1" applyFill="1" applyBorder="1" applyAlignment="1">
      <alignment horizontal="center" vertical="center"/>
    </xf>
    <xf numFmtId="0" fontId="25" fillId="2" borderId="0" xfId="4" applyFill="1" applyBorder="1" applyAlignment="1">
      <alignment horizontal="center"/>
    </xf>
    <xf numFmtId="0" fontId="38" fillId="2" borderId="0" xfId="4" applyFont="1" applyFill="1" applyBorder="1" applyAlignment="1">
      <alignment horizontal="center" vertical="center"/>
    </xf>
    <xf numFmtId="43" fontId="31" fillId="0" borderId="0" xfId="2" applyNumberFormat="1" applyFont="1" applyFill="1" applyAlignment="1">
      <alignment horizontal="center" vertical="center" wrapText="1"/>
    </xf>
    <xf numFmtId="166" fontId="31" fillId="0" borderId="0" xfId="1" applyNumberFormat="1" applyFont="1" applyFill="1" applyBorder="1" applyAlignment="1">
      <alignment vertical="center" wrapText="1"/>
    </xf>
    <xf numFmtId="166" fontId="1" fillId="0" borderId="3" xfId="1" applyNumberFormat="1" applyFont="1" applyFill="1" applyBorder="1" applyAlignment="1">
      <alignment horizontal="center" vertical="center"/>
    </xf>
    <xf numFmtId="176" fontId="1" fillId="0" borderId="3" xfId="7" applyNumberFormat="1" applyFont="1" applyFill="1" applyBorder="1" applyAlignment="1">
      <alignment horizontal="center" vertical="center"/>
    </xf>
    <xf numFmtId="43" fontId="31" fillId="2" borderId="0" xfId="2" applyNumberFormat="1" applyFont="1" applyFill="1" applyAlignment="1">
      <alignment horizontal="center" vertical="center" wrapText="1"/>
    </xf>
    <xf numFmtId="1" fontId="23" fillId="5" borderId="1" xfId="2" applyNumberFormat="1" applyFont="1" applyFill="1" applyBorder="1" applyAlignment="1">
      <alignment horizontal="center"/>
    </xf>
    <xf numFmtId="164" fontId="23" fillId="5" borderId="1" xfId="2" applyNumberFormat="1" applyFont="1" applyFill="1" applyBorder="1" applyAlignment="1">
      <alignment horizontal="center"/>
    </xf>
    <xf numFmtId="165" fontId="23" fillId="5" borderId="1" xfId="2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10" fillId="2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30" fillId="2" borderId="0" xfId="2" applyFont="1" applyFill="1" applyBorder="1" applyAlignment="1">
      <alignment horizontal="left" vertical="top" wrapText="1"/>
    </xf>
    <xf numFmtId="0" fontId="24" fillId="2" borderId="0" xfId="2" applyFont="1" applyFill="1" applyAlignment="1">
      <alignment horizontal="center" vertical="center" wrapText="1"/>
    </xf>
    <xf numFmtId="0" fontId="45" fillId="3" borderId="0" xfId="0" applyFont="1" applyFill="1" applyAlignment="1">
      <alignment horizontal="left" vertical="center"/>
    </xf>
    <xf numFmtId="0" fontId="23" fillId="2" borderId="0" xfId="0" applyFont="1" applyFill="1" applyBorder="1" applyAlignment="1">
      <alignment horizontal="center" vertical="center" wrapText="1"/>
    </xf>
    <xf numFmtId="0" fontId="45" fillId="3" borderId="0" xfId="0" applyFont="1" applyFill="1" applyBorder="1" applyAlignment="1">
      <alignment horizontal="left" vertical="center"/>
    </xf>
    <xf numFmtId="0" fontId="47" fillId="2" borderId="0" xfId="0" applyFont="1" applyFill="1" applyAlignment="1">
      <alignment horizontal="left" vertical="center" wrapText="1"/>
    </xf>
    <xf numFmtId="0" fontId="44" fillId="2" borderId="0" xfId="2" applyFont="1" applyFill="1" applyAlignment="1">
      <alignment horizontal="left" wrapText="1"/>
    </xf>
    <xf numFmtId="0" fontId="23" fillId="2" borderId="0" xfId="2" applyFont="1" applyFill="1" applyAlignment="1">
      <alignment horizontal="left" vertical="center" wrapText="1"/>
    </xf>
    <xf numFmtId="0" fontId="47" fillId="2" borderId="0" xfId="0" applyFont="1" applyFill="1" applyBorder="1" applyAlignment="1">
      <alignment horizontal="left" vertical="center" wrapText="1"/>
    </xf>
    <xf numFmtId="0" fontId="52" fillId="6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1" fillId="2" borderId="0" xfId="2" applyFont="1" applyFill="1" applyBorder="1" applyAlignment="1">
      <alignment horizontal="left" vertical="justify" wrapText="1"/>
    </xf>
    <xf numFmtId="0" fontId="37" fillId="2" borderId="0" xfId="3" applyFill="1" applyBorder="1" applyAlignment="1">
      <alignment horizontal="left" vertical="justify" wrapText="1"/>
    </xf>
    <xf numFmtId="0" fontId="1" fillId="2" borderId="3" xfId="0" applyFont="1" applyFill="1" applyBorder="1" applyAlignment="1">
      <alignment horizontal="center"/>
    </xf>
    <xf numFmtId="0" fontId="45" fillId="3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45" fillId="2" borderId="3" xfId="0" applyFont="1" applyFill="1" applyBorder="1" applyAlignment="1">
      <alignment horizontal="center" vertical="center"/>
    </xf>
    <xf numFmtId="0" fontId="23" fillId="3" borderId="0" xfId="2" applyFont="1" applyFill="1" applyBorder="1" applyAlignment="1">
      <alignment horizontal="left" vertical="center"/>
    </xf>
    <xf numFmtId="0" fontId="21" fillId="2" borderId="0" xfId="2" applyFont="1" applyFill="1" applyBorder="1" applyAlignment="1">
      <alignment vertical="top" wrapText="1"/>
    </xf>
    <xf numFmtId="0" fontId="25" fillId="2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center"/>
    </xf>
    <xf numFmtId="0" fontId="21" fillId="0" borderId="0" xfId="2" applyAlignment="1"/>
    <xf numFmtId="0" fontId="24" fillId="2" borderId="0" xfId="2" applyFont="1" applyFill="1" applyAlignment="1">
      <alignment horizontal="center" wrapText="1"/>
    </xf>
    <xf numFmtId="0" fontId="24" fillId="2" borderId="0" xfId="2" applyFont="1" applyFill="1" applyAlignment="1">
      <alignment horizontal="center"/>
    </xf>
    <xf numFmtId="0" fontId="30" fillId="2" borderId="0" xfId="2" applyFont="1" applyFill="1" applyBorder="1" applyAlignment="1">
      <alignment horizontal="left" wrapText="1"/>
    </xf>
    <xf numFmtId="0" fontId="21" fillId="2" borderId="0" xfId="2" applyFont="1" applyFill="1" applyBorder="1" applyAlignment="1">
      <alignment horizontal="left" vertical="center" wrapText="1"/>
    </xf>
    <xf numFmtId="0" fontId="24" fillId="2" borderId="0" xfId="2" applyFont="1" applyFill="1" applyAlignment="1">
      <alignment horizontal="center" vertical="center"/>
    </xf>
    <xf numFmtId="0" fontId="23" fillId="3" borderId="0" xfId="4" applyFont="1" applyFill="1" applyBorder="1" applyAlignment="1">
      <alignment horizontal="left" vertical="center"/>
    </xf>
    <xf numFmtId="0" fontId="23" fillId="4" borderId="0" xfId="4" applyFont="1" applyFill="1" applyBorder="1" applyAlignment="1">
      <alignment horizontal="left" vertical="center"/>
    </xf>
    <xf numFmtId="0" fontId="31" fillId="2" borderId="0" xfId="2" applyFont="1" applyFill="1" applyBorder="1" applyAlignment="1">
      <alignment horizontal="left" vertical="justify" wrapText="1"/>
    </xf>
    <xf numFmtId="0" fontId="21" fillId="2" borderId="0" xfId="4" applyFont="1" applyFill="1" applyBorder="1" applyAlignment="1">
      <alignment horizontal="left" vertical="center" wrapText="1"/>
    </xf>
    <xf numFmtId="0" fontId="30" fillId="2" borderId="0" xfId="4" applyFont="1" applyFill="1" applyBorder="1" applyAlignment="1">
      <alignment vertical="center" wrapText="1"/>
    </xf>
    <xf numFmtId="0" fontId="25" fillId="2" borderId="0" xfId="4" applyFont="1" applyFill="1" applyBorder="1" applyAlignment="1">
      <alignment wrapText="1"/>
    </xf>
    <xf numFmtId="0" fontId="58" fillId="2" borderId="0" xfId="4" applyFont="1" applyFill="1" applyBorder="1" applyAlignment="1">
      <alignment vertical="center" wrapText="1"/>
    </xf>
    <xf numFmtId="0" fontId="21" fillId="2" borderId="0" xfId="4" applyFont="1" applyFill="1" applyBorder="1" applyAlignment="1">
      <alignment wrapText="1"/>
    </xf>
    <xf numFmtId="0" fontId="30" fillId="2" borderId="0" xfId="4" applyFont="1" applyFill="1" applyBorder="1" applyAlignment="1">
      <alignment horizontal="left" vertical="top" wrapText="1"/>
    </xf>
    <xf numFmtId="0" fontId="30" fillId="2" borderId="0" xfId="4" applyFont="1" applyFill="1" applyBorder="1" applyAlignment="1">
      <alignment vertical="top" wrapText="1"/>
    </xf>
    <xf numFmtId="0" fontId="21" fillId="2" borderId="0" xfId="4" applyFont="1" applyFill="1" applyBorder="1" applyAlignment="1">
      <alignment horizontal="left" vertical="top" wrapText="1"/>
    </xf>
  </cellXfs>
  <cellStyles count="8">
    <cellStyle name="Hipervínculo" xfId="3" builtinId="8"/>
    <cellStyle name="Millares" xfId="1" builtinId="3"/>
    <cellStyle name="Millares [0] 2" xfId="6"/>
    <cellStyle name="Moneda" xfId="7" builtinId="4"/>
    <cellStyle name="Moneda 2" xfId="5"/>
    <cellStyle name="Normal" xfId="0" builtinId="0"/>
    <cellStyle name="Normal 2" xfId="2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geimexico.org/factor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geimexico.org/factor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geimexico.org/factor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geimexico.org/facto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3"/>
  <sheetViews>
    <sheetView view="pageLayout" topLeftCell="A97" zoomScale="80" zoomScaleNormal="100" zoomScalePageLayoutView="80" workbookViewId="0">
      <selection activeCell="I228" sqref="I228:I230"/>
    </sheetView>
  </sheetViews>
  <sheetFormatPr baseColWidth="10" defaultRowHeight="15"/>
  <cols>
    <col min="1" max="1" width="5" style="1" customWidth="1"/>
    <col min="2" max="2" width="27.7109375" customWidth="1"/>
    <col min="3" max="3" width="3.85546875" style="3" customWidth="1"/>
    <col min="4" max="4" width="17.7109375" customWidth="1"/>
    <col min="5" max="5" width="14.28515625" customWidth="1"/>
    <col min="6" max="6" width="15.5703125" customWidth="1"/>
    <col min="7" max="7" width="3.28515625" customWidth="1"/>
    <col min="8" max="8" width="16.28515625" customWidth="1"/>
    <col min="9" max="9" width="3.140625" customWidth="1"/>
    <col min="10" max="10" width="14.42578125" customWidth="1"/>
    <col min="11" max="11" width="22.42578125" customWidth="1"/>
    <col min="12" max="12" width="23" customWidth="1"/>
    <col min="13" max="13" width="2.42578125" customWidth="1"/>
  </cols>
  <sheetData>
    <row r="1" spans="1:13" s="7" customFormat="1">
      <c r="A1" s="1"/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1"/>
    </row>
    <row r="2" spans="1:13" ht="18">
      <c r="B2" s="310" t="s">
        <v>0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1"/>
    </row>
    <row r="3" spans="1:13" ht="6" customHeight="1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1"/>
    </row>
    <row r="4" spans="1:13" ht="18">
      <c r="B4" s="310" t="s">
        <v>3</v>
      </c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1"/>
    </row>
    <row r="5" spans="1:1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s="3" customForma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s="3" customForma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s="5" customFormat="1" ht="15.75">
      <c r="A8" s="9" t="s">
        <v>1</v>
      </c>
      <c r="B8" s="4"/>
      <c r="C8" s="9"/>
      <c r="D8" s="10"/>
      <c r="E8" s="293"/>
      <c r="F8" s="293"/>
      <c r="G8" s="293"/>
      <c r="H8" s="293"/>
      <c r="I8" s="293"/>
      <c r="J8" s="4"/>
      <c r="K8" s="4"/>
      <c r="L8" s="4"/>
      <c r="M8" s="4"/>
    </row>
    <row r="9" spans="1:13" s="5" customFormat="1" ht="15.75">
      <c r="A9" s="9" t="s">
        <v>2</v>
      </c>
      <c r="B9" s="4"/>
      <c r="C9" s="9"/>
      <c r="D9" s="10"/>
      <c r="E9" s="309"/>
      <c r="F9" s="309"/>
      <c r="G9" s="309"/>
      <c r="H9" s="309"/>
      <c r="I9" s="309"/>
      <c r="J9" s="4"/>
      <c r="K9" s="4"/>
      <c r="L9" s="4"/>
      <c r="M9" s="4"/>
    </row>
    <row r="10" spans="1:13" s="5" customFormat="1" ht="15.75">
      <c r="A10" s="4"/>
      <c r="B10" s="2"/>
      <c r="C10" s="2"/>
      <c r="D10" s="4"/>
      <c r="E10" s="6"/>
      <c r="F10" s="6"/>
      <c r="G10" s="6"/>
      <c r="H10" s="6"/>
      <c r="I10" s="6"/>
      <c r="J10" s="4"/>
      <c r="K10" s="4"/>
      <c r="L10" s="4"/>
      <c r="M10" s="4"/>
    </row>
    <row r="11" spans="1:13" s="5" customFormat="1" ht="15.75">
      <c r="A11" s="4"/>
      <c r="B11" s="2"/>
      <c r="C11" s="2"/>
      <c r="D11" s="4"/>
      <c r="E11" s="6"/>
      <c r="F11" s="6"/>
      <c r="G11" s="6"/>
      <c r="H11" s="6"/>
      <c r="I11" s="6"/>
      <c r="J11" s="4"/>
      <c r="K11" s="4"/>
      <c r="L11" s="4"/>
      <c r="M11" s="4"/>
    </row>
    <row r="12" spans="1:13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.75">
      <c r="A13" s="150" t="s">
        <v>4</v>
      </c>
      <c r="B13" s="151"/>
      <c r="C13" s="150"/>
      <c r="D13" s="151"/>
      <c r="E13" s="151"/>
      <c r="F13" s="151"/>
      <c r="G13" s="151"/>
      <c r="H13" s="151"/>
      <c r="I13" s="151"/>
      <c r="J13" s="151"/>
      <c r="K13" s="151"/>
      <c r="L13" s="151"/>
      <c r="M13" s="151"/>
    </row>
    <row r="14" spans="1:13" s="3" customFormat="1" ht="15.75">
      <c r="A14" s="1"/>
      <c r="B14" s="11"/>
      <c r="C14" s="1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s="3" customFormat="1">
      <c r="A15" s="1"/>
      <c r="B15" s="18" t="s">
        <v>14</v>
      </c>
      <c r="C15" s="15"/>
      <c r="D15" s="18" t="s">
        <v>15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s="3" customFormat="1" ht="7.5" customHeight="1">
      <c r="A16" s="1"/>
      <c r="B16" s="12"/>
      <c r="C16" s="12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B17" s="12"/>
      <c r="C17" s="15"/>
      <c r="D17" s="18" t="s">
        <v>16</v>
      </c>
      <c r="E17" s="13"/>
      <c r="F17" s="10"/>
      <c r="G17" s="10"/>
      <c r="H17" s="10"/>
      <c r="I17" s="10"/>
      <c r="J17" s="10"/>
      <c r="K17" s="10"/>
      <c r="L17" s="10"/>
      <c r="M17" s="1"/>
    </row>
    <row r="18" spans="1:13" s="3" customFormat="1">
      <c r="A18" s="1"/>
      <c r="B18" s="12"/>
      <c r="C18" s="16"/>
      <c r="D18" s="13"/>
      <c r="E18" s="13"/>
      <c r="F18" s="10"/>
      <c r="G18" s="10"/>
      <c r="H18" s="10"/>
      <c r="I18" s="10"/>
      <c r="J18" s="10"/>
      <c r="K18" s="10"/>
      <c r="L18" s="10"/>
      <c r="M18" s="1"/>
    </row>
    <row r="19" spans="1:13" s="3" customFormat="1" ht="17.25" customHeight="1">
      <c r="A19" s="1"/>
      <c r="B19" s="18" t="s">
        <v>17</v>
      </c>
      <c r="C19" s="13"/>
      <c r="D19" s="1"/>
      <c r="E19" s="10"/>
      <c r="F19" s="10"/>
      <c r="G19" s="10"/>
      <c r="H19" s="10"/>
      <c r="I19" s="10"/>
      <c r="J19" s="10"/>
      <c r="K19" s="10"/>
      <c r="L19" s="10"/>
      <c r="M19" s="1"/>
    </row>
    <row r="20" spans="1:13" s="3" customFormat="1" ht="8.25" customHeight="1">
      <c r="A20" s="1"/>
      <c r="B20" s="13"/>
      <c r="C20" s="13"/>
      <c r="D20" s="1"/>
      <c r="E20" s="10"/>
      <c r="F20" s="10"/>
      <c r="G20" s="10"/>
      <c r="H20" s="10"/>
      <c r="I20" s="10"/>
      <c r="J20" s="10"/>
      <c r="K20" s="10"/>
      <c r="L20" s="10"/>
      <c r="M20" s="1"/>
    </row>
    <row r="21" spans="1:13" s="3" customFormat="1" ht="15.75" customHeight="1">
      <c r="A21" s="1"/>
      <c r="B21" s="1"/>
      <c r="C21" s="14"/>
      <c r="D21" s="13" t="s">
        <v>5</v>
      </c>
      <c r="E21" s="10"/>
      <c r="F21" s="10"/>
      <c r="G21" s="10"/>
      <c r="H21" s="10"/>
      <c r="I21" s="10"/>
      <c r="J21" s="10"/>
      <c r="K21" s="10"/>
      <c r="L21" s="10"/>
      <c r="M21" s="1"/>
    </row>
    <row r="22" spans="1:13" s="3" customFormat="1" ht="9" customHeight="1">
      <c r="A22" s="1"/>
      <c r="B22" s="13"/>
      <c r="C22" s="13"/>
      <c r="D22" s="10"/>
      <c r="E22" s="10"/>
      <c r="F22" s="10"/>
      <c r="G22" s="10"/>
      <c r="H22" s="10"/>
      <c r="I22" s="10"/>
      <c r="J22" s="10"/>
      <c r="K22" s="10"/>
      <c r="L22" s="10"/>
      <c r="M22" s="1"/>
    </row>
    <row r="23" spans="1:13" s="3" customFormat="1">
      <c r="A23" s="1"/>
      <c r="B23" s="1"/>
      <c r="C23" s="14"/>
      <c r="D23" s="13" t="s">
        <v>6</v>
      </c>
      <c r="E23" s="10"/>
      <c r="F23" s="10"/>
      <c r="G23" s="10"/>
      <c r="H23" s="10"/>
      <c r="I23" s="10"/>
      <c r="J23" s="10"/>
      <c r="K23" s="10"/>
      <c r="L23" s="10"/>
      <c r="M23" s="1"/>
    </row>
    <row r="24" spans="1:13" s="3" customFormat="1" ht="7.5" customHeight="1">
      <c r="A24" s="1"/>
      <c r="B24" s="13"/>
      <c r="C24" s="13"/>
      <c r="D24" s="10"/>
      <c r="E24" s="10"/>
      <c r="F24" s="10"/>
      <c r="G24" s="10"/>
      <c r="H24" s="10"/>
      <c r="I24" s="10"/>
      <c r="J24" s="10"/>
      <c r="K24" s="10"/>
      <c r="L24" s="10"/>
      <c r="M24" s="1"/>
    </row>
    <row r="25" spans="1:13" s="3" customFormat="1">
      <c r="A25" s="1"/>
      <c r="B25" s="1"/>
      <c r="C25" s="14"/>
      <c r="D25" s="13" t="s">
        <v>7</v>
      </c>
      <c r="E25" s="10"/>
      <c r="F25" s="10"/>
      <c r="G25" s="10"/>
      <c r="H25" s="10"/>
      <c r="I25" s="10"/>
      <c r="J25" s="10"/>
      <c r="K25" s="10"/>
      <c r="L25" s="10"/>
      <c r="M25" s="1"/>
    </row>
    <row r="26" spans="1:13" s="3" customFormat="1">
      <c r="A26" s="1"/>
      <c r="B26" s="1"/>
      <c r="C26" s="26"/>
      <c r="D26" s="13"/>
      <c r="E26" s="10"/>
      <c r="F26" s="10"/>
      <c r="G26" s="10"/>
      <c r="H26" s="10"/>
      <c r="I26" s="10"/>
      <c r="J26" s="10"/>
      <c r="K26" s="10"/>
      <c r="L26" s="10"/>
      <c r="M26" s="1"/>
    </row>
    <row r="27" spans="1:13" s="3" customFormat="1">
      <c r="A27" s="1"/>
      <c r="B27" s="12"/>
      <c r="C27" s="12"/>
      <c r="D27" s="10"/>
      <c r="E27" s="10"/>
      <c r="F27" s="10"/>
      <c r="G27" s="10"/>
      <c r="H27" s="10"/>
      <c r="I27" s="10"/>
      <c r="J27" s="10"/>
      <c r="K27" s="10"/>
      <c r="L27" s="10"/>
      <c r="M27" s="1"/>
    </row>
    <row r="28" spans="1:13" s="3" customFormat="1" ht="21" customHeight="1">
      <c r="A28" s="152" t="s">
        <v>12</v>
      </c>
      <c r="B28" s="149"/>
      <c r="C28" s="152"/>
      <c r="D28" s="153"/>
      <c r="E28" s="153"/>
      <c r="F28" s="153"/>
      <c r="G28" s="153"/>
      <c r="H28" s="153"/>
      <c r="I28" s="153"/>
      <c r="J28" s="153"/>
      <c r="K28" s="153"/>
      <c r="L28" s="153"/>
      <c r="M28" s="149"/>
    </row>
    <row r="29" spans="1:13" s="3" customFormat="1">
      <c r="A29" s="1"/>
      <c r="B29" s="12"/>
      <c r="C29" s="12"/>
      <c r="D29" s="10"/>
      <c r="E29" s="10"/>
      <c r="F29" s="10"/>
      <c r="G29" s="10"/>
      <c r="H29" s="10"/>
      <c r="I29" s="10"/>
      <c r="J29" s="10"/>
      <c r="K29" s="10"/>
      <c r="L29" s="10"/>
      <c r="M29" s="1"/>
    </row>
    <row r="30" spans="1:13" s="3" customFormat="1">
      <c r="A30" s="1"/>
      <c r="B30" s="30" t="s">
        <v>216</v>
      </c>
      <c r="C30" s="12"/>
      <c r="D30" s="10"/>
      <c r="E30" s="10"/>
      <c r="F30" s="10"/>
      <c r="G30" s="10"/>
      <c r="H30" s="10"/>
      <c r="I30" s="10"/>
      <c r="J30" s="10"/>
      <c r="K30" s="10"/>
      <c r="L30" s="10"/>
      <c r="M30" s="1"/>
    </row>
    <row r="31" spans="1:13" s="3" customFormat="1">
      <c r="A31" s="1"/>
      <c r="B31" s="23"/>
      <c r="C31" s="1"/>
      <c r="D31" s="18" t="s">
        <v>18</v>
      </c>
      <c r="E31" s="10"/>
      <c r="F31" s="19"/>
      <c r="G31" s="19"/>
      <c r="H31" s="24"/>
      <c r="I31" s="19"/>
      <c r="J31" s="19"/>
      <c r="K31" s="10"/>
      <c r="L31" s="10"/>
      <c r="M31" s="1"/>
    </row>
    <row r="32" spans="1:13" s="3" customFormat="1" ht="18" customHeight="1">
      <c r="A32" s="1"/>
      <c r="B32" s="23"/>
      <c r="C32" s="1"/>
      <c r="D32" s="18" t="s">
        <v>32</v>
      </c>
      <c r="E32" s="10"/>
      <c r="F32" s="20"/>
      <c r="G32" s="20"/>
      <c r="H32" s="22"/>
      <c r="I32" s="20"/>
      <c r="J32" s="10"/>
      <c r="K32" s="298" t="s">
        <v>50</v>
      </c>
      <c r="L32" s="299"/>
      <c r="M32" s="1"/>
    </row>
    <row r="33" spans="1:13" s="3" customFormat="1" ht="7.5" customHeight="1">
      <c r="A33" s="1"/>
      <c r="B33" s="23"/>
      <c r="C33" s="1"/>
      <c r="D33" s="18"/>
      <c r="E33" s="10"/>
      <c r="F33" s="20"/>
      <c r="G33" s="20"/>
      <c r="H33" s="22"/>
      <c r="I33" s="20"/>
      <c r="J33" s="10"/>
      <c r="K33" s="10"/>
      <c r="L33" s="10"/>
      <c r="M33" s="1"/>
    </row>
    <row r="34" spans="1:13" s="3" customFormat="1" ht="15.75" customHeight="1">
      <c r="A34" s="1"/>
      <c r="B34" s="23"/>
      <c r="C34" s="1"/>
      <c r="D34" s="18" t="s">
        <v>31</v>
      </c>
      <c r="E34" s="10"/>
      <c r="F34" s="20"/>
      <c r="G34" s="21"/>
      <c r="H34" s="22" t="s">
        <v>19</v>
      </c>
      <c r="I34" s="21"/>
      <c r="J34" s="18" t="s">
        <v>20</v>
      </c>
      <c r="K34" s="293"/>
      <c r="L34" s="293"/>
      <c r="M34" s="1"/>
    </row>
    <row r="35" spans="1:13" s="3" customFormat="1" ht="6.75" customHeight="1">
      <c r="A35" s="1"/>
      <c r="B35" s="23"/>
      <c r="C35" s="1"/>
      <c r="D35" s="18"/>
      <c r="E35" s="10"/>
      <c r="F35" s="20"/>
      <c r="G35" s="20"/>
      <c r="H35" s="22"/>
      <c r="I35" s="20"/>
      <c r="J35" s="10"/>
      <c r="K35" s="10"/>
      <c r="L35" s="10"/>
      <c r="M35" s="1"/>
    </row>
    <row r="36" spans="1:13" s="3" customFormat="1" ht="14.25" customHeight="1">
      <c r="A36" s="1"/>
      <c r="B36" s="23"/>
      <c r="C36" s="1"/>
      <c r="D36" s="18" t="s">
        <v>33</v>
      </c>
      <c r="E36" s="10"/>
      <c r="F36" s="20"/>
      <c r="G36" s="21"/>
      <c r="H36" s="22" t="s">
        <v>19</v>
      </c>
      <c r="I36" s="21"/>
      <c r="J36" s="18" t="s">
        <v>20</v>
      </c>
      <c r="K36" s="293"/>
      <c r="L36" s="293"/>
      <c r="M36" s="1"/>
    </row>
    <row r="37" spans="1:13" s="3" customFormat="1" ht="7.5" customHeight="1">
      <c r="A37" s="1"/>
      <c r="B37" s="23"/>
      <c r="C37" s="1"/>
      <c r="D37" s="18"/>
      <c r="E37" s="10"/>
      <c r="F37" s="20"/>
      <c r="G37" s="20"/>
      <c r="H37" s="22"/>
      <c r="I37" s="20"/>
      <c r="J37" s="10"/>
      <c r="K37" s="10"/>
      <c r="L37" s="10"/>
      <c r="M37" s="1"/>
    </row>
    <row r="38" spans="1:13" s="3" customFormat="1" ht="14.25" customHeight="1">
      <c r="A38" s="1"/>
      <c r="B38" s="23"/>
      <c r="C38" s="1"/>
      <c r="D38" s="18" t="s">
        <v>34</v>
      </c>
      <c r="E38" s="10"/>
      <c r="F38" s="20"/>
      <c r="G38" s="21"/>
      <c r="H38" s="22" t="s">
        <v>19</v>
      </c>
      <c r="I38" s="21"/>
      <c r="J38" s="18" t="s">
        <v>20</v>
      </c>
      <c r="K38" s="293"/>
      <c r="L38" s="293"/>
      <c r="M38" s="1"/>
    </row>
    <row r="39" spans="1:13" s="3" customFormat="1" ht="6.75" customHeight="1">
      <c r="A39" s="1"/>
      <c r="B39" s="23"/>
      <c r="C39" s="1"/>
      <c r="D39" s="18"/>
      <c r="E39" s="10"/>
      <c r="F39" s="20"/>
      <c r="G39" s="20"/>
      <c r="H39" s="22"/>
      <c r="I39" s="20"/>
      <c r="J39" s="10"/>
      <c r="K39" s="10"/>
      <c r="L39" s="10"/>
      <c r="M39" s="1"/>
    </row>
    <row r="40" spans="1:13" s="3" customFormat="1">
      <c r="A40" s="1"/>
      <c r="B40" s="12"/>
      <c r="C40" s="1"/>
      <c r="D40" s="18" t="s">
        <v>21</v>
      </c>
      <c r="E40" s="10"/>
      <c r="F40" s="10"/>
      <c r="G40" s="21"/>
      <c r="H40" s="22" t="s">
        <v>19</v>
      </c>
      <c r="I40" s="21"/>
      <c r="J40" s="18" t="s">
        <v>20</v>
      </c>
      <c r="K40" s="293"/>
      <c r="L40" s="293"/>
      <c r="M40" s="1"/>
    </row>
    <row r="41" spans="1:13" s="3" customFormat="1" ht="6.75" customHeight="1">
      <c r="A41" s="1"/>
      <c r="B41" s="12"/>
      <c r="C41" s="1"/>
      <c r="D41" s="18"/>
      <c r="E41" s="10"/>
      <c r="F41" s="20"/>
      <c r="G41" s="20"/>
      <c r="H41" s="22"/>
      <c r="I41" s="20"/>
      <c r="J41" s="20"/>
      <c r="K41" s="10"/>
      <c r="L41" s="10"/>
      <c r="M41" s="1"/>
    </row>
    <row r="42" spans="1:13" s="3" customFormat="1">
      <c r="A42" s="1"/>
      <c r="B42" s="12"/>
      <c r="C42" s="1"/>
      <c r="D42" s="18" t="s">
        <v>22</v>
      </c>
      <c r="E42" s="10"/>
      <c r="F42" s="10"/>
      <c r="G42" s="21"/>
      <c r="H42" s="22" t="s">
        <v>19</v>
      </c>
      <c r="I42" s="21"/>
      <c r="J42" s="18" t="s">
        <v>20</v>
      </c>
      <c r="K42" s="293"/>
      <c r="L42" s="293"/>
      <c r="M42" s="1"/>
    </row>
    <row r="43" spans="1:13" s="3" customFormat="1" ht="6" customHeight="1">
      <c r="A43" s="1"/>
      <c r="B43" s="12"/>
      <c r="C43" s="1"/>
      <c r="D43" s="18"/>
      <c r="E43" s="10"/>
      <c r="F43" s="10"/>
      <c r="G43" s="20"/>
      <c r="H43" s="22"/>
      <c r="I43" s="20"/>
      <c r="J43" s="10"/>
      <c r="K43" s="10"/>
      <c r="L43" s="10"/>
      <c r="M43" s="1"/>
    </row>
    <row r="44" spans="1:13" s="3" customFormat="1">
      <c r="A44" s="1"/>
      <c r="B44" s="12"/>
      <c r="C44" s="1"/>
      <c r="D44" s="18" t="s">
        <v>23</v>
      </c>
      <c r="E44" s="10"/>
      <c r="F44" s="10"/>
      <c r="G44" s="21"/>
      <c r="H44" s="22" t="s">
        <v>19</v>
      </c>
      <c r="I44" s="21"/>
      <c r="J44" s="18" t="s">
        <v>20</v>
      </c>
      <c r="K44" s="293"/>
      <c r="L44" s="293"/>
      <c r="M44" s="1"/>
    </row>
    <row r="45" spans="1:13" s="3" customFormat="1">
      <c r="A45" s="1"/>
      <c r="B45" s="12"/>
      <c r="C45" s="13"/>
      <c r="D45" s="10"/>
      <c r="E45" s="10"/>
      <c r="F45" s="10"/>
      <c r="G45" s="10"/>
      <c r="H45" s="10"/>
      <c r="I45" s="10"/>
      <c r="J45" s="10"/>
      <c r="K45" s="10"/>
      <c r="L45" s="10"/>
      <c r="M45" s="1"/>
    </row>
    <row r="46" spans="1:13" s="3" customFormat="1" ht="30" customHeight="1">
      <c r="A46" s="1"/>
      <c r="B46" s="12"/>
      <c r="C46" s="13"/>
      <c r="D46" s="311" t="s">
        <v>24</v>
      </c>
      <c r="E46" s="311"/>
      <c r="F46" s="311"/>
      <c r="G46" s="311"/>
      <c r="H46" s="311"/>
      <c r="I46" s="311"/>
      <c r="J46" s="311"/>
      <c r="K46" s="311"/>
      <c r="L46" s="311"/>
      <c r="M46" s="1"/>
    </row>
    <row r="47" spans="1:13" s="3" customFormat="1">
      <c r="A47" s="1"/>
      <c r="B47" s="12"/>
      <c r="C47" s="13"/>
      <c r="D47" s="293"/>
      <c r="E47" s="293"/>
      <c r="F47" s="293"/>
      <c r="G47" s="293"/>
      <c r="H47" s="293"/>
      <c r="I47" s="293"/>
      <c r="J47" s="293"/>
      <c r="K47" s="293"/>
      <c r="L47" s="293"/>
      <c r="M47" s="1"/>
    </row>
    <row r="48" spans="1:13" s="3" customFormat="1">
      <c r="A48" s="1"/>
      <c r="B48" s="12"/>
      <c r="C48" s="13"/>
      <c r="D48" s="293"/>
      <c r="E48" s="293"/>
      <c r="F48" s="293"/>
      <c r="G48" s="293"/>
      <c r="H48" s="293"/>
      <c r="I48" s="293"/>
      <c r="J48" s="293"/>
      <c r="K48" s="293"/>
      <c r="L48" s="293"/>
      <c r="M48" s="1"/>
    </row>
    <row r="49" spans="1:13" s="3" customFormat="1">
      <c r="A49" s="1"/>
      <c r="B49" s="12"/>
      <c r="C49" s="13"/>
      <c r="D49" s="25"/>
      <c r="E49" s="25"/>
      <c r="F49" s="25"/>
      <c r="G49" s="25"/>
      <c r="H49" s="25"/>
      <c r="I49" s="25"/>
      <c r="J49" s="25"/>
      <c r="K49" s="25"/>
      <c r="L49" s="25"/>
      <c r="M49" s="1"/>
    </row>
    <row r="50" spans="1:13" s="3" customFormat="1">
      <c r="A50" s="1"/>
      <c r="B50" s="12"/>
      <c r="C50" s="13"/>
      <c r="D50" s="10"/>
      <c r="E50" s="10"/>
      <c r="F50" s="10"/>
      <c r="G50" s="10"/>
      <c r="H50" s="10"/>
      <c r="I50" s="10"/>
      <c r="J50" s="10"/>
      <c r="K50" s="10"/>
      <c r="L50" s="10"/>
      <c r="M50" s="1"/>
    </row>
    <row r="51" spans="1:13" s="3" customFormat="1">
      <c r="A51" s="1"/>
      <c r="B51" s="30" t="s">
        <v>25</v>
      </c>
      <c r="C51" s="16"/>
      <c r="D51" s="13"/>
      <c r="E51" s="10"/>
      <c r="F51" s="10"/>
      <c r="G51" s="10"/>
      <c r="H51" s="10"/>
      <c r="I51" s="10"/>
      <c r="J51" s="10"/>
      <c r="K51" s="10"/>
      <c r="L51" s="10"/>
      <c r="M51" s="1"/>
    </row>
    <row r="52" spans="1:13" s="3" customFormat="1">
      <c r="A52" s="1"/>
      <c r="B52" s="12"/>
      <c r="C52" s="16"/>
      <c r="D52" s="13"/>
      <c r="E52" s="10"/>
      <c r="F52" s="10"/>
      <c r="G52" s="10"/>
      <c r="H52" s="10"/>
      <c r="I52" s="10"/>
      <c r="J52" s="10"/>
      <c r="K52" s="10"/>
      <c r="L52" s="10"/>
      <c r="M52" s="1"/>
    </row>
    <row r="53" spans="1:13" s="3" customFormat="1">
      <c r="A53" s="1"/>
      <c r="B53" s="18" t="s">
        <v>30</v>
      </c>
      <c r="C53" s="16"/>
      <c r="D53" s="13"/>
      <c r="E53" s="10"/>
      <c r="F53" s="10"/>
      <c r="G53" s="10"/>
      <c r="H53" s="10"/>
      <c r="I53" s="10"/>
      <c r="J53" s="10"/>
      <c r="K53" s="10"/>
      <c r="L53" s="10"/>
      <c r="M53" s="1"/>
    </row>
    <row r="54" spans="1:13" s="3" customFormat="1" ht="9" customHeight="1">
      <c r="A54" s="1"/>
      <c r="B54" s="18"/>
      <c r="C54" s="16"/>
      <c r="D54" s="13"/>
      <c r="E54" s="10"/>
      <c r="F54" s="10"/>
      <c r="G54" s="10"/>
      <c r="H54" s="10"/>
      <c r="I54" s="10"/>
      <c r="J54" s="10"/>
      <c r="K54" s="10"/>
      <c r="L54" s="10"/>
      <c r="M54" s="1"/>
    </row>
    <row r="55" spans="1:13" s="3" customFormat="1" ht="27.75" customHeight="1">
      <c r="A55" s="28" t="s">
        <v>42</v>
      </c>
      <c r="B55" s="28" t="s">
        <v>29</v>
      </c>
      <c r="C55" s="301" t="s">
        <v>27</v>
      </c>
      <c r="D55" s="301"/>
      <c r="E55" s="29" t="s">
        <v>26</v>
      </c>
      <c r="F55" s="312" t="s">
        <v>44</v>
      </c>
      <c r="G55" s="313"/>
      <c r="H55" s="312" t="s">
        <v>43</v>
      </c>
      <c r="I55" s="313"/>
      <c r="J55" s="28" t="s">
        <v>35</v>
      </c>
      <c r="K55" s="32" t="s">
        <v>36</v>
      </c>
      <c r="L55" s="28" t="s">
        <v>28</v>
      </c>
      <c r="M55" s="1"/>
    </row>
    <row r="56" spans="1:13" s="3" customFormat="1">
      <c r="A56" s="34">
        <v>1</v>
      </c>
      <c r="B56" s="35"/>
      <c r="C56" s="306"/>
      <c r="D56" s="306"/>
      <c r="E56" s="36"/>
      <c r="F56" s="307"/>
      <c r="G56" s="307"/>
      <c r="H56" s="304"/>
      <c r="I56" s="305"/>
      <c r="J56" s="36"/>
      <c r="K56" s="27"/>
      <c r="L56" s="21"/>
      <c r="M56" s="1"/>
    </row>
    <row r="57" spans="1:13" s="3" customFormat="1">
      <c r="A57" s="34">
        <v>2</v>
      </c>
      <c r="B57" s="35"/>
      <c r="C57" s="306"/>
      <c r="D57" s="306"/>
      <c r="E57" s="36"/>
      <c r="F57" s="307"/>
      <c r="G57" s="307"/>
      <c r="H57" s="304"/>
      <c r="I57" s="305"/>
      <c r="J57" s="36"/>
      <c r="K57" s="27"/>
      <c r="L57" s="21"/>
      <c r="M57" s="1"/>
    </row>
    <row r="58" spans="1:13" s="3" customFormat="1">
      <c r="A58" s="34">
        <v>3</v>
      </c>
      <c r="B58" s="35"/>
      <c r="C58" s="306"/>
      <c r="D58" s="306"/>
      <c r="E58" s="36"/>
      <c r="F58" s="307"/>
      <c r="G58" s="307"/>
      <c r="H58" s="304"/>
      <c r="I58" s="305"/>
      <c r="J58" s="36"/>
      <c r="K58" s="27"/>
      <c r="L58" s="21"/>
      <c r="M58" s="1"/>
    </row>
    <row r="59" spans="1:13" s="3" customFormat="1">
      <c r="A59" s="34">
        <v>4</v>
      </c>
      <c r="B59" s="35"/>
      <c r="C59" s="306"/>
      <c r="D59" s="306"/>
      <c r="E59" s="36"/>
      <c r="F59" s="307"/>
      <c r="G59" s="307"/>
      <c r="H59" s="304"/>
      <c r="I59" s="305"/>
      <c r="J59" s="36"/>
      <c r="K59" s="27"/>
      <c r="L59" s="21"/>
      <c r="M59" s="1"/>
    </row>
    <row r="60" spans="1:13" s="3" customFormat="1">
      <c r="A60" s="34">
        <v>5</v>
      </c>
      <c r="B60" s="35"/>
      <c r="C60" s="306"/>
      <c r="D60" s="306"/>
      <c r="E60" s="36"/>
      <c r="F60" s="307"/>
      <c r="G60" s="307"/>
      <c r="H60" s="304"/>
      <c r="I60" s="305"/>
      <c r="J60" s="36"/>
      <c r="K60" s="27"/>
      <c r="L60" s="21"/>
      <c r="M60" s="1"/>
    </row>
    <row r="61" spans="1:13" s="3" customFormat="1">
      <c r="A61" s="34">
        <v>6</v>
      </c>
      <c r="B61" s="35"/>
      <c r="C61" s="306"/>
      <c r="D61" s="306"/>
      <c r="E61" s="36"/>
      <c r="F61" s="307"/>
      <c r="G61" s="307"/>
      <c r="H61" s="304"/>
      <c r="I61" s="305"/>
      <c r="J61" s="36"/>
      <c r="K61" s="27"/>
      <c r="L61" s="21"/>
      <c r="M61" s="1"/>
    </row>
    <row r="62" spans="1:13" s="3" customFormat="1">
      <c r="A62" s="1"/>
      <c r="B62" s="16"/>
      <c r="C62" s="16"/>
      <c r="D62" s="26"/>
      <c r="E62" s="20"/>
      <c r="F62" s="20"/>
      <c r="G62" s="20"/>
      <c r="H62" s="20"/>
      <c r="I62" s="20"/>
      <c r="J62" s="20"/>
      <c r="K62" s="20"/>
      <c r="L62" s="20"/>
      <c r="M62" s="1"/>
    </row>
    <row r="63" spans="1:13" s="3" customFormat="1">
      <c r="A63" s="1"/>
      <c r="B63" s="22" t="s">
        <v>196</v>
      </c>
      <c r="C63" s="16"/>
      <c r="D63" s="26"/>
      <c r="E63" s="20"/>
      <c r="F63" s="20"/>
      <c r="G63" s="20"/>
      <c r="H63" s="20"/>
      <c r="I63" s="20"/>
      <c r="J63" s="20"/>
      <c r="K63" s="10"/>
      <c r="L63" s="10"/>
      <c r="M63" s="1"/>
    </row>
    <row r="64" spans="1:13" s="3" customFormat="1" ht="9" customHeight="1">
      <c r="A64" s="1"/>
      <c r="B64" s="22"/>
      <c r="C64" s="16"/>
      <c r="D64" s="26"/>
      <c r="E64" s="20"/>
      <c r="F64" s="20"/>
      <c r="G64" s="20"/>
      <c r="H64" s="20"/>
      <c r="I64" s="20"/>
      <c r="J64" s="20"/>
      <c r="K64" s="10"/>
      <c r="L64" s="10"/>
      <c r="M64" s="1"/>
    </row>
    <row r="65" spans="1:13" s="3" customFormat="1" ht="56.25" customHeight="1">
      <c r="A65" s="28" t="s">
        <v>42</v>
      </c>
      <c r="B65" s="28" t="s">
        <v>41</v>
      </c>
      <c r="C65" s="301" t="s">
        <v>39</v>
      </c>
      <c r="D65" s="301"/>
      <c r="E65" s="28" t="s">
        <v>40</v>
      </c>
      <c r="F65" s="301" t="s">
        <v>38</v>
      </c>
      <c r="G65" s="301"/>
      <c r="H65" s="301" t="s">
        <v>37</v>
      </c>
      <c r="I65" s="301"/>
      <c r="J65" s="28" t="s">
        <v>110</v>
      </c>
      <c r="K65" s="28" t="s">
        <v>111</v>
      </c>
      <c r="L65" s="28" t="s">
        <v>51</v>
      </c>
      <c r="M65" s="1"/>
    </row>
    <row r="66" spans="1:13" s="3" customFormat="1">
      <c r="A66" s="34">
        <v>1</v>
      </c>
      <c r="B66" s="35" t="str">
        <f>IF(B56="","",B56)</f>
        <v/>
      </c>
      <c r="C66" s="300"/>
      <c r="D66" s="300"/>
      <c r="E66" s="36"/>
      <c r="F66" s="302"/>
      <c r="G66" s="302"/>
      <c r="H66" s="303"/>
      <c r="I66" s="303"/>
      <c r="J66" s="46"/>
      <c r="K66" s="46"/>
      <c r="L66" s="21"/>
      <c r="M66" s="1"/>
    </row>
    <row r="67" spans="1:13" s="3" customFormat="1">
      <c r="A67" s="34">
        <v>2</v>
      </c>
      <c r="B67" s="35" t="str">
        <f t="shared" ref="B67:B71" si="0">IF(B57="","",B57)</f>
        <v/>
      </c>
      <c r="C67" s="300"/>
      <c r="D67" s="300"/>
      <c r="E67" s="36"/>
      <c r="F67" s="302"/>
      <c r="G67" s="302"/>
      <c r="H67" s="303"/>
      <c r="I67" s="303"/>
      <c r="J67" s="46"/>
      <c r="K67" s="46"/>
      <c r="L67" s="21"/>
      <c r="M67" s="1"/>
    </row>
    <row r="68" spans="1:13" s="3" customFormat="1">
      <c r="A68" s="34">
        <v>3</v>
      </c>
      <c r="B68" s="35" t="str">
        <f t="shared" si="0"/>
        <v/>
      </c>
      <c r="C68" s="300"/>
      <c r="D68" s="300"/>
      <c r="E68" s="36"/>
      <c r="F68" s="302"/>
      <c r="G68" s="302"/>
      <c r="H68" s="303"/>
      <c r="I68" s="303"/>
      <c r="J68" s="46"/>
      <c r="K68" s="46"/>
      <c r="L68" s="21"/>
      <c r="M68" s="1"/>
    </row>
    <row r="69" spans="1:13" s="3" customFormat="1">
      <c r="A69" s="34">
        <v>4</v>
      </c>
      <c r="B69" s="35" t="str">
        <f t="shared" si="0"/>
        <v/>
      </c>
      <c r="C69" s="300"/>
      <c r="D69" s="300"/>
      <c r="E69" s="36"/>
      <c r="F69" s="302"/>
      <c r="G69" s="302"/>
      <c r="H69" s="303"/>
      <c r="I69" s="303"/>
      <c r="J69" s="46"/>
      <c r="K69" s="46"/>
      <c r="L69" s="21"/>
      <c r="M69" s="1"/>
    </row>
    <row r="70" spans="1:13" s="3" customFormat="1">
      <c r="A70" s="34">
        <v>5</v>
      </c>
      <c r="B70" s="35" t="str">
        <f t="shared" si="0"/>
        <v/>
      </c>
      <c r="C70" s="300"/>
      <c r="D70" s="300"/>
      <c r="E70" s="36"/>
      <c r="F70" s="302"/>
      <c r="G70" s="302"/>
      <c r="H70" s="303"/>
      <c r="I70" s="303"/>
      <c r="J70" s="46"/>
      <c r="K70" s="46"/>
      <c r="L70" s="21"/>
      <c r="M70" s="1"/>
    </row>
    <row r="71" spans="1:13" s="3" customFormat="1">
      <c r="A71" s="34">
        <v>6</v>
      </c>
      <c r="B71" s="35" t="str">
        <f t="shared" si="0"/>
        <v/>
      </c>
      <c r="C71" s="300"/>
      <c r="D71" s="300"/>
      <c r="E71" s="36"/>
      <c r="F71" s="302"/>
      <c r="G71" s="302"/>
      <c r="H71" s="303"/>
      <c r="I71" s="303"/>
      <c r="J71" s="46"/>
      <c r="K71" s="46"/>
      <c r="L71" s="21"/>
      <c r="M71" s="1"/>
    </row>
    <row r="72" spans="1:13" s="3" customFormat="1">
      <c r="A72" s="1"/>
      <c r="B72" s="1"/>
      <c r="C72" s="16"/>
      <c r="D72" s="33"/>
      <c r="E72" s="31"/>
      <c r="F72" s="31"/>
      <c r="G72" s="31"/>
      <c r="H72" s="10"/>
      <c r="I72" s="10"/>
      <c r="J72" s="10"/>
      <c r="K72" s="10"/>
      <c r="L72" s="10"/>
      <c r="M72" s="1"/>
    </row>
    <row r="73" spans="1:13" s="3" customFormat="1">
      <c r="A73" s="1"/>
      <c r="B73" s="18" t="s">
        <v>217</v>
      </c>
      <c r="C73" s="16"/>
      <c r="D73" s="33"/>
      <c r="E73" s="31"/>
      <c r="F73" s="31"/>
      <c r="G73" s="31"/>
      <c r="H73" s="10"/>
      <c r="I73" s="10"/>
      <c r="J73" s="10"/>
      <c r="K73" s="298" t="s">
        <v>50</v>
      </c>
      <c r="L73" s="299"/>
      <c r="M73" s="1"/>
    </row>
    <row r="74" spans="1:13" s="3" customFormat="1">
      <c r="A74" s="1"/>
      <c r="B74" s="18"/>
      <c r="C74" s="16"/>
      <c r="D74" s="18" t="s">
        <v>45</v>
      </c>
      <c r="E74" s="31"/>
      <c r="F74" s="31"/>
      <c r="G74" s="37"/>
      <c r="H74" s="22" t="s">
        <v>19</v>
      </c>
      <c r="I74" s="37"/>
      <c r="J74" s="18" t="s">
        <v>20</v>
      </c>
      <c r="K74" s="293"/>
      <c r="L74" s="293"/>
      <c r="M74" s="1"/>
    </row>
    <row r="75" spans="1:13" s="3" customFormat="1" ht="4.5" customHeight="1">
      <c r="A75" s="1"/>
      <c r="B75" s="18"/>
      <c r="C75" s="16"/>
      <c r="D75" s="31"/>
      <c r="E75" s="31"/>
      <c r="F75" s="31"/>
      <c r="G75" s="31"/>
      <c r="H75" s="18"/>
      <c r="I75" s="18"/>
      <c r="J75" s="10"/>
      <c r="K75" s="10"/>
      <c r="L75" s="10"/>
      <c r="M75" s="1"/>
    </row>
    <row r="76" spans="1:13" s="3" customFormat="1" ht="14.25" customHeight="1">
      <c r="A76" s="1"/>
      <c r="B76" s="18"/>
      <c r="C76" s="16"/>
      <c r="D76" s="18" t="s">
        <v>48</v>
      </c>
      <c r="E76" s="31"/>
      <c r="F76" s="31"/>
      <c r="G76" s="37"/>
      <c r="H76" s="22" t="s">
        <v>19</v>
      </c>
      <c r="I76" s="37"/>
      <c r="J76" s="18" t="s">
        <v>20</v>
      </c>
      <c r="K76" s="293"/>
      <c r="L76" s="293"/>
      <c r="M76" s="1"/>
    </row>
    <row r="77" spans="1:13" s="3" customFormat="1" ht="4.5" customHeight="1">
      <c r="A77" s="1"/>
      <c r="B77" s="18"/>
      <c r="C77" s="16"/>
      <c r="D77" s="31"/>
      <c r="E77" s="31"/>
      <c r="F77" s="31"/>
      <c r="G77" s="31"/>
      <c r="H77" s="18"/>
      <c r="I77" s="18"/>
      <c r="J77" s="10"/>
      <c r="K77" s="10"/>
      <c r="L77" s="10"/>
      <c r="M77" s="1"/>
    </row>
    <row r="78" spans="1:13" s="3" customFormat="1">
      <c r="A78" s="1"/>
      <c r="B78" s="12"/>
      <c r="C78" s="16"/>
      <c r="D78" s="18" t="s">
        <v>46</v>
      </c>
      <c r="E78" s="18"/>
      <c r="F78" s="18"/>
      <c r="G78" s="37"/>
      <c r="H78" s="22" t="s">
        <v>19</v>
      </c>
      <c r="I78" s="37"/>
      <c r="J78" s="18" t="s">
        <v>20</v>
      </c>
      <c r="K78" s="293"/>
      <c r="L78" s="293"/>
      <c r="M78" s="1"/>
    </row>
    <row r="79" spans="1:13" s="3" customFormat="1" ht="4.5" customHeight="1">
      <c r="A79" s="1"/>
      <c r="B79" s="12"/>
      <c r="C79" s="16"/>
      <c r="D79" s="18"/>
      <c r="E79" s="18"/>
      <c r="F79" s="18"/>
      <c r="G79" s="22"/>
      <c r="H79" s="22"/>
      <c r="I79" s="22"/>
      <c r="J79" s="18"/>
      <c r="K79" s="10"/>
      <c r="L79" s="10"/>
      <c r="M79" s="1"/>
    </row>
    <row r="80" spans="1:13" s="3" customFormat="1">
      <c r="A80" s="1"/>
      <c r="B80" s="12"/>
      <c r="C80" s="16"/>
      <c r="D80" s="18" t="s">
        <v>47</v>
      </c>
      <c r="E80" s="18"/>
      <c r="F80" s="18"/>
      <c r="G80" s="37"/>
      <c r="H80" s="22" t="s">
        <v>19</v>
      </c>
      <c r="I80" s="37"/>
      <c r="J80" s="18" t="s">
        <v>20</v>
      </c>
      <c r="K80" s="293"/>
      <c r="L80" s="293"/>
      <c r="M80" s="1"/>
    </row>
    <row r="81" spans="1:13" s="3" customFormat="1" ht="5.25" customHeight="1">
      <c r="A81" s="1"/>
      <c r="B81" s="12"/>
      <c r="C81" s="16"/>
      <c r="D81" s="18"/>
      <c r="E81" s="18"/>
      <c r="F81" s="18"/>
      <c r="G81" s="18"/>
      <c r="H81" s="18"/>
      <c r="I81" s="18"/>
      <c r="J81" s="10"/>
      <c r="K81" s="10"/>
      <c r="L81" s="10"/>
      <c r="M81" s="1"/>
    </row>
    <row r="82" spans="1:13" s="3" customFormat="1">
      <c r="A82" s="1"/>
      <c r="B82" s="12"/>
      <c r="C82" s="16"/>
      <c r="D82" s="18" t="s">
        <v>49</v>
      </c>
      <c r="E82" s="18"/>
      <c r="F82" s="18"/>
      <c r="G82" s="18"/>
      <c r="H82" s="18"/>
      <c r="I82" s="18"/>
      <c r="J82" s="10"/>
      <c r="K82" s="10"/>
      <c r="L82" s="10"/>
      <c r="M82" s="1"/>
    </row>
    <row r="83" spans="1:13" s="3" customFormat="1" ht="3" customHeight="1">
      <c r="A83" s="1"/>
      <c r="B83" s="12"/>
      <c r="C83" s="16"/>
      <c r="D83" s="18"/>
      <c r="E83" s="18"/>
      <c r="F83" s="18"/>
      <c r="G83" s="18"/>
      <c r="H83" s="18"/>
      <c r="I83" s="18"/>
      <c r="J83" s="10"/>
      <c r="K83" s="10"/>
      <c r="L83" s="10"/>
      <c r="M83" s="1"/>
    </row>
    <row r="84" spans="1:13" s="3" customFormat="1">
      <c r="A84" s="1"/>
      <c r="B84" s="12"/>
      <c r="C84" s="16"/>
      <c r="D84" s="18" t="s">
        <v>52</v>
      </c>
      <c r="E84" s="18"/>
      <c r="F84" s="18"/>
      <c r="G84" s="37"/>
      <c r="H84" s="22" t="s">
        <v>19</v>
      </c>
      <c r="I84" s="37"/>
      <c r="J84" s="18" t="s">
        <v>20</v>
      </c>
      <c r="K84" s="293"/>
      <c r="L84" s="293"/>
      <c r="M84" s="1"/>
    </row>
    <row r="85" spans="1:13" s="3" customFormat="1" ht="3.75" customHeight="1">
      <c r="A85" s="1"/>
      <c r="B85" s="12"/>
      <c r="C85" s="16"/>
      <c r="D85" s="18"/>
      <c r="E85" s="18"/>
      <c r="F85" s="18"/>
      <c r="G85" s="18"/>
      <c r="H85" s="18"/>
      <c r="I85" s="18"/>
      <c r="J85" s="10"/>
      <c r="K85" s="10"/>
      <c r="L85" s="10"/>
      <c r="M85" s="1"/>
    </row>
    <row r="86" spans="1:13" s="3" customFormat="1">
      <c r="A86" s="1"/>
      <c r="B86" s="12"/>
      <c r="C86" s="16"/>
      <c r="D86" s="18" t="s">
        <v>53</v>
      </c>
      <c r="E86" s="18"/>
      <c r="F86" s="18"/>
      <c r="G86" s="37"/>
      <c r="H86" s="22" t="s">
        <v>19</v>
      </c>
      <c r="I86" s="37"/>
      <c r="J86" s="18" t="s">
        <v>20</v>
      </c>
      <c r="K86" s="293"/>
      <c r="L86" s="293"/>
      <c r="M86" s="1"/>
    </row>
    <row r="87" spans="1:13" s="3" customFormat="1">
      <c r="A87" s="1"/>
      <c r="B87" s="12"/>
      <c r="C87" s="16"/>
      <c r="D87" s="13"/>
      <c r="E87" s="10"/>
      <c r="F87" s="10"/>
      <c r="G87" s="10"/>
      <c r="H87" s="10"/>
      <c r="I87" s="10"/>
      <c r="J87" s="10"/>
      <c r="K87" s="10"/>
      <c r="L87" s="10"/>
      <c r="M87" s="1"/>
    </row>
    <row r="88" spans="1:13" s="3" customFormat="1">
      <c r="A88" s="1"/>
      <c r="B88" s="12"/>
      <c r="C88" s="16"/>
      <c r="D88" s="18"/>
      <c r="E88" s="10"/>
      <c r="F88" s="10"/>
      <c r="G88" s="10"/>
      <c r="H88" s="10"/>
      <c r="I88" s="10"/>
      <c r="J88" s="10"/>
      <c r="K88" s="10"/>
      <c r="L88" s="10"/>
      <c r="M88" s="1"/>
    </row>
    <row r="89" spans="1:13" s="3" customFormat="1">
      <c r="A89" s="1"/>
      <c r="B89" s="30" t="s">
        <v>218</v>
      </c>
      <c r="C89" s="16"/>
      <c r="D89" s="13"/>
      <c r="E89" s="10"/>
      <c r="F89" s="10"/>
      <c r="G89" s="10"/>
      <c r="H89" s="10"/>
      <c r="I89" s="10"/>
      <c r="J89" s="10"/>
      <c r="K89" s="1"/>
      <c r="L89" s="1"/>
      <c r="M89" s="1"/>
    </row>
    <row r="90" spans="1:13" s="3" customFormat="1">
      <c r="A90" s="1"/>
      <c r="B90" s="30"/>
      <c r="C90" s="22" t="s">
        <v>61</v>
      </c>
      <c r="D90" s="13"/>
      <c r="E90" s="10"/>
      <c r="F90" s="10"/>
      <c r="G90" s="293"/>
      <c r="H90" s="293"/>
      <c r="I90" s="10"/>
      <c r="J90" s="10"/>
      <c r="K90" s="39"/>
      <c r="L90" s="38"/>
      <c r="M90" s="1"/>
    </row>
    <row r="91" spans="1:13" s="3" customFormat="1" ht="7.5" customHeight="1">
      <c r="A91" s="1"/>
      <c r="B91" s="30"/>
      <c r="C91" s="16"/>
      <c r="D91" s="13"/>
      <c r="E91" s="10"/>
      <c r="F91" s="10"/>
      <c r="G91" s="10"/>
      <c r="H91" s="10"/>
      <c r="I91" s="10"/>
      <c r="J91" s="10"/>
      <c r="K91" s="39"/>
      <c r="L91" s="38"/>
      <c r="M91" s="1"/>
    </row>
    <row r="92" spans="1:13" s="3" customFormat="1" ht="14.25" customHeight="1">
      <c r="A92" s="1"/>
      <c r="B92" s="30"/>
      <c r="C92" s="22" t="s">
        <v>62</v>
      </c>
      <c r="D92" s="13"/>
      <c r="E92" s="10"/>
      <c r="F92" s="10"/>
      <c r="G92" s="37"/>
      <c r="H92" s="22" t="s">
        <v>19</v>
      </c>
      <c r="I92" s="37"/>
      <c r="J92" s="18" t="s">
        <v>20</v>
      </c>
      <c r="K92" s="39"/>
      <c r="L92" s="38"/>
      <c r="M92" s="1"/>
    </row>
    <row r="93" spans="1:13" s="3" customFormat="1" ht="6.75" customHeight="1">
      <c r="A93" s="1"/>
      <c r="B93" s="30"/>
      <c r="C93" s="22"/>
      <c r="D93" s="13"/>
      <c r="E93" s="10"/>
      <c r="F93" s="10"/>
      <c r="G93" s="22"/>
      <c r="H93" s="22"/>
      <c r="I93" s="22"/>
      <c r="J93" s="18"/>
      <c r="K93" s="39"/>
      <c r="L93" s="38"/>
      <c r="M93" s="1"/>
    </row>
    <row r="94" spans="1:13" s="3" customFormat="1" ht="14.25" customHeight="1">
      <c r="A94" s="1"/>
      <c r="B94" s="30"/>
      <c r="C94" s="22" t="s">
        <v>63</v>
      </c>
      <c r="D94" s="13"/>
      <c r="E94" s="10"/>
      <c r="F94" s="10"/>
      <c r="G94" s="293"/>
      <c r="H94" s="293"/>
      <c r="I94" s="10"/>
      <c r="J94" s="10"/>
      <c r="K94" s="39"/>
      <c r="L94" s="38"/>
      <c r="M94" s="1"/>
    </row>
    <row r="95" spans="1:13" s="3" customFormat="1" ht="14.25" customHeight="1">
      <c r="A95" s="1"/>
      <c r="B95" s="30"/>
      <c r="C95" s="16"/>
      <c r="D95" s="13"/>
      <c r="E95" s="10"/>
      <c r="F95" s="10"/>
      <c r="G95" s="10"/>
      <c r="H95" s="10"/>
      <c r="I95" s="10"/>
      <c r="J95" s="10"/>
      <c r="K95" s="298" t="s">
        <v>56</v>
      </c>
      <c r="L95" s="299"/>
      <c r="M95" s="1"/>
    </row>
    <row r="96" spans="1:13" s="3" customFormat="1">
      <c r="A96" s="1"/>
      <c r="B96" s="30"/>
      <c r="C96" s="15"/>
      <c r="D96" s="18" t="s">
        <v>54</v>
      </c>
      <c r="E96" s="10"/>
      <c r="F96" s="10"/>
      <c r="G96" s="10"/>
      <c r="H96" s="10"/>
      <c r="I96" s="10"/>
      <c r="J96" s="10"/>
      <c r="K96" s="293"/>
      <c r="L96" s="293"/>
      <c r="M96" s="1"/>
    </row>
    <row r="97" spans="1:13" s="3" customFormat="1" ht="7.5" customHeight="1">
      <c r="A97" s="1"/>
      <c r="B97" s="30"/>
      <c r="C97" s="16"/>
      <c r="D97" s="13"/>
      <c r="E97" s="10"/>
      <c r="F97" s="10"/>
      <c r="G97" s="10"/>
      <c r="H97" s="10"/>
      <c r="I97" s="10"/>
      <c r="J97" s="10"/>
      <c r="K97" s="10"/>
      <c r="L97" s="10"/>
      <c r="M97" s="1"/>
    </row>
    <row r="98" spans="1:13" s="3" customFormat="1" ht="16.5" customHeight="1">
      <c r="A98" s="1"/>
      <c r="B98" s="30"/>
      <c r="C98" s="16"/>
      <c r="D98" s="18" t="s">
        <v>57</v>
      </c>
      <c r="E98" s="10"/>
      <c r="F98" s="10"/>
      <c r="G98" s="37"/>
      <c r="H98" s="22" t="s">
        <v>19</v>
      </c>
      <c r="I98" s="37"/>
      <c r="J98" s="18" t="s">
        <v>20</v>
      </c>
      <c r="K98" s="293"/>
      <c r="L98" s="293"/>
      <c r="M98" s="1"/>
    </row>
    <row r="99" spans="1:13" s="3" customFormat="1" ht="6.75" customHeight="1">
      <c r="A99" s="1"/>
      <c r="B99" s="30"/>
      <c r="C99" s="16"/>
      <c r="D99" s="18"/>
      <c r="E99" s="10"/>
      <c r="F99" s="10"/>
      <c r="G99" s="10"/>
      <c r="H99" s="10"/>
      <c r="I99" s="10"/>
      <c r="J99" s="10"/>
      <c r="K99" s="10"/>
      <c r="L99" s="10"/>
      <c r="M99" s="1"/>
    </row>
    <row r="100" spans="1:13" s="3" customFormat="1" ht="13.5" customHeight="1">
      <c r="A100" s="1"/>
      <c r="B100" s="30"/>
      <c r="C100" s="16"/>
      <c r="D100" s="18" t="s">
        <v>58</v>
      </c>
      <c r="E100" s="10"/>
      <c r="F100" s="10"/>
      <c r="G100" s="37"/>
      <c r="H100" s="22" t="s">
        <v>19</v>
      </c>
      <c r="I100" s="37"/>
      <c r="J100" s="18" t="s">
        <v>20</v>
      </c>
      <c r="K100" s="293"/>
      <c r="L100" s="293"/>
      <c r="M100" s="1"/>
    </row>
    <row r="101" spans="1:13" s="3" customFormat="1" ht="8.25" customHeight="1">
      <c r="A101" s="1"/>
      <c r="B101" s="30"/>
      <c r="C101" s="16"/>
      <c r="D101" s="1"/>
      <c r="E101" s="10"/>
      <c r="F101" s="10"/>
      <c r="G101" s="10"/>
      <c r="H101" s="10"/>
      <c r="I101" s="10"/>
      <c r="J101" s="10"/>
      <c r="K101" s="10"/>
      <c r="L101" s="10"/>
      <c r="M101" s="1"/>
    </row>
    <row r="102" spans="1:13" s="3" customFormat="1" ht="15.75" customHeight="1">
      <c r="A102" s="1"/>
      <c r="B102" s="30"/>
      <c r="C102" s="16"/>
      <c r="D102" s="18" t="s">
        <v>59</v>
      </c>
      <c r="E102" s="10"/>
      <c r="F102" s="10"/>
      <c r="G102" s="37"/>
      <c r="H102" s="22" t="s">
        <v>19</v>
      </c>
      <c r="I102" s="37"/>
      <c r="J102" s="18" t="s">
        <v>20</v>
      </c>
      <c r="K102" s="293"/>
      <c r="L102" s="293"/>
      <c r="M102" s="1"/>
    </row>
    <row r="103" spans="1:13" s="3" customFormat="1" ht="6.75" customHeight="1">
      <c r="A103" s="1"/>
      <c r="B103" s="30"/>
      <c r="C103" s="16"/>
      <c r="D103" s="13"/>
      <c r="E103" s="10"/>
      <c r="F103" s="10"/>
      <c r="G103" s="10"/>
      <c r="H103" s="10"/>
      <c r="I103" s="10"/>
      <c r="J103" s="10"/>
      <c r="K103" s="10"/>
      <c r="L103" s="10"/>
      <c r="M103" s="1"/>
    </row>
    <row r="104" spans="1:13" s="3" customFormat="1" ht="15.75" customHeight="1">
      <c r="A104" s="1"/>
      <c r="B104" s="30"/>
      <c r="C104" s="16"/>
      <c r="D104" s="18" t="s">
        <v>60</v>
      </c>
      <c r="E104" s="10"/>
      <c r="F104" s="10"/>
      <c r="G104" s="37"/>
      <c r="H104" s="22" t="s">
        <v>19</v>
      </c>
      <c r="I104" s="37"/>
      <c r="J104" s="18" t="s">
        <v>20</v>
      </c>
      <c r="K104" s="293"/>
      <c r="L104" s="293"/>
      <c r="M104" s="1"/>
    </row>
    <row r="105" spans="1:13" s="3" customFormat="1" ht="7.5" customHeight="1">
      <c r="A105" s="1"/>
      <c r="B105" s="30"/>
      <c r="C105" s="16"/>
      <c r="D105" s="18"/>
      <c r="E105" s="10"/>
      <c r="F105" s="10"/>
      <c r="G105" s="22"/>
      <c r="H105" s="22"/>
      <c r="I105" s="22"/>
      <c r="J105" s="18"/>
      <c r="K105" s="25"/>
      <c r="L105" s="25"/>
      <c r="M105" s="1"/>
    </row>
    <row r="106" spans="1:13" s="3" customFormat="1" ht="15.75" customHeight="1">
      <c r="A106" s="1"/>
      <c r="B106" s="30"/>
      <c r="C106" s="16"/>
      <c r="D106" s="18" t="s">
        <v>69</v>
      </c>
      <c r="E106" s="10"/>
      <c r="F106" s="10"/>
      <c r="G106" s="37"/>
      <c r="H106" s="22" t="s">
        <v>19</v>
      </c>
      <c r="I106" s="37"/>
      <c r="J106" s="18" t="s">
        <v>20</v>
      </c>
      <c r="K106" s="293"/>
      <c r="L106" s="293"/>
      <c r="M106" s="1"/>
    </row>
    <row r="107" spans="1:13" s="3" customFormat="1" ht="7.5" customHeight="1">
      <c r="A107" s="1"/>
      <c r="B107" s="30"/>
      <c r="C107" s="16"/>
      <c r="D107" s="13"/>
      <c r="E107" s="10"/>
      <c r="F107" s="10"/>
      <c r="G107" s="10"/>
      <c r="H107" s="10"/>
      <c r="I107" s="10"/>
      <c r="J107" s="10"/>
      <c r="K107" s="10"/>
      <c r="L107" s="10"/>
      <c r="M107" s="1"/>
    </row>
    <row r="108" spans="1:13" s="3" customFormat="1" ht="15" customHeight="1">
      <c r="A108" s="1"/>
      <c r="B108" s="30"/>
      <c r="C108" s="16"/>
      <c r="D108" s="18" t="s">
        <v>64</v>
      </c>
      <c r="E108" s="10"/>
      <c r="F108" s="10"/>
      <c r="G108" s="37"/>
      <c r="H108" s="22" t="s">
        <v>19</v>
      </c>
      <c r="I108" s="37"/>
      <c r="J108" s="18" t="s">
        <v>20</v>
      </c>
      <c r="K108" s="293"/>
      <c r="L108" s="293"/>
      <c r="M108" s="1"/>
    </row>
    <row r="109" spans="1:13" s="3" customFormat="1" ht="6.75" customHeight="1">
      <c r="A109" s="1"/>
      <c r="B109" s="30"/>
      <c r="C109" s="16"/>
      <c r="D109" s="18"/>
      <c r="E109" s="10"/>
      <c r="F109" s="10"/>
      <c r="G109" s="22"/>
      <c r="H109" s="22"/>
      <c r="I109" s="22"/>
      <c r="J109" s="18"/>
      <c r="K109" s="25"/>
      <c r="L109" s="25"/>
      <c r="M109" s="1"/>
    </row>
    <row r="110" spans="1:13" s="3" customFormat="1" ht="15" customHeight="1">
      <c r="A110" s="1"/>
      <c r="B110" s="30"/>
      <c r="C110" s="16"/>
      <c r="D110" s="18" t="s">
        <v>112</v>
      </c>
      <c r="E110" s="10"/>
      <c r="F110" s="10"/>
      <c r="G110" s="37"/>
      <c r="H110" s="22" t="s">
        <v>19</v>
      </c>
      <c r="I110" s="37"/>
      <c r="J110" s="18" t="s">
        <v>20</v>
      </c>
      <c r="K110" s="293"/>
      <c r="L110" s="293"/>
      <c r="M110" s="1"/>
    </row>
    <row r="111" spans="1:13" s="3" customFormat="1" ht="15.75" customHeight="1">
      <c r="A111" s="1"/>
      <c r="B111" s="30"/>
      <c r="C111" s="16"/>
      <c r="D111" s="13"/>
      <c r="E111" s="10"/>
      <c r="F111" s="10"/>
      <c r="G111" s="10"/>
      <c r="H111" s="10"/>
      <c r="I111" s="10"/>
      <c r="J111" s="10"/>
      <c r="K111" s="10"/>
      <c r="L111" s="10"/>
      <c r="M111" s="1"/>
    </row>
    <row r="112" spans="1:13" s="3" customFormat="1">
      <c r="A112" s="1"/>
      <c r="B112" s="30"/>
      <c r="C112" s="15"/>
      <c r="D112" s="18" t="s">
        <v>55</v>
      </c>
      <c r="E112" s="10"/>
      <c r="F112" s="10"/>
      <c r="G112" s="10"/>
      <c r="H112" s="10"/>
      <c r="I112" s="10"/>
      <c r="J112" s="10"/>
      <c r="K112" s="10"/>
      <c r="L112" s="10"/>
      <c r="M112" s="1"/>
    </row>
    <row r="113" spans="1:13" s="3" customFormat="1" ht="9" customHeight="1">
      <c r="A113" s="1"/>
      <c r="B113" s="30"/>
      <c r="C113" s="16"/>
      <c r="D113" s="18"/>
      <c r="E113" s="10"/>
      <c r="F113" s="10"/>
      <c r="G113" s="10"/>
      <c r="H113" s="10"/>
      <c r="I113" s="10"/>
      <c r="J113" s="10"/>
      <c r="K113" s="10"/>
      <c r="L113" s="10"/>
      <c r="M113" s="1"/>
    </row>
    <row r="114" spans="1:13" s="3" customFormat="1" ht="15.75" customHeight="1">
      <c r="A114" s="1"/>
      <c r="B114" s="13"/>
      <c r="C114" s="16"/>
      <c r="D114" s="18" t="s">
        <v>65</v>
      </c>
      <c r="E114" s="1"/>
      <c r="F114" s="10"/>
      <c r="G114" s="37"/>
      <c r="H114" s="22" t="s">
        <v>19</v>
      </c>
      <c r="I114" s="37"/>
      <c r="J114" s="18" t="s">
        <v>20</v>
      </c>
      <c r="K114" s="293"/>
      <c r="L114" s="293"/>
      <c r="M114" s="1"/>
    </row>
    <row r="115" spans="1:13" s="3" customFormat="1" ht="6" customHeight="1">
      <c r="A115" s="1"/>
      <c r="B115" s="13"/>
      <c r="C115" s="16"/>
      <c r="D115" s="18"/>
      <c r="E115" s="1"/>
      <c r="F115" s="10"/>
      <c r="G115" s="13"/>
      <c r="H115" s="10"/>
      <c r="I115" s="10"/>
      <c r="J115" s="10"/>
      <c r="K115" s="10"/>
      <c r="L115" s="10"/>
      <c r="M115" s="1"/>
    </row>
    <row r="116" spans="1:13" s="3" customFormat="1" ht="15.75" customHeight="1">
      <c r="A116" s="1"/>
      <c r="B116" s="13"/>
      <c r="C116" s="16"/>
      <c r="D116" s="18" t="s">
        <v>121</v>
      </c>
      <c r="E116" s="1"/>
      <c r="F116" s="10"/>
      <c r="G116" s="293"/>
      <c r="H116" s="293"/>
      <c r="I116" s="293"/>
      <c r="J116" s="10"/>
      <c r="K116" s="10"/>
      <c r="L116" s="10"/>
      <c r="M116" s="1"/>
    </row>
    <row r="117" spans="1:13" s="3" customFormat="1" ht="9.75" customHeight="1">
      <c r="A117" s="1"/>
      <c r="B117" s="13"/>
      <c r="C117" s="16"/>
      <c r="D117" s="18"/>
      <c r="E117" s="1"/>
      <c r="F117" s="10"/>
      <c r="G117" s="25"/>
      <c r="H117" s="25"/>
      <c r="I117" s="10"/>
      <c r="J117" s="10"/>
      <c r="K117" s="10"/>
      <c r="L117" s="10"/>
      <c r="M117" s="1"/>
    </row>
    <row r="118" spans="1:13" s="3" customFormat="1" ht="15.75" customHeight="1">
      <c r="A118" s="1"/>
      <c r="B118" s="13"/>
      <c r="C118" s="16"/>
      <c r="D118" s="18" t="s">
        <v>66</v>
      </c>
      <c r="E118" s="1"/>
      <c r="F118" s="10"/>
      <c r="G118" s="37"/>
      <c r="H118" s="22" t="s">
        <v>19</v>
      </c>
      <c r="I118" s="37"/>
      <c r="J118" s="18" t="s">
        <v>20</v>
      </c>
      <c r="K118" s="293"/>
      <c r="L118" s="293"/>
      <c r="M118" s="1"/>
    </row>
    <row r="119" spans="1:13" s="3" customFormat="1" ht="6.75" customHeight="1">
      <c r="A119" s="1"/>
      <c r="B119" s="13"/>
      <c r="C119" s="16"/>
      <c r="D119" s="18"/>
      <c r="E119" s="1"/>
      <c r="F119" s="10"/>
      <c r="G119" s="17"/>
      <c r="H119" s="25"/>
      <c r="I119" s="10"/>
      <c r="J119" s="10"/>
      <c r="K119" s="10"/>
      <c r="L119" s="10"/>
      <c r="M119" s="1"/>
    </row>
    <row r="120" spans="1:13" s="3" customFormat="1" ht="15.75" customHeight="1">
      <c r="A120" s="1"/>
      <c r="B120" s="13"/>
      <c r="C120" s="16"/>
      <c r="D120" s="18" t="s">
        <v>67</v>
      </c>
      <c r="E120" s="1"/>
      <c r="F120" s="10"/>
      <c r="G120" s="37"/>
      <c r="H120" s="22" t="s">
        <v>19</v>
      </c>
      <c r="I120" s="37"/>
      <c r="J120" s="18" t="s">
        <v>20</v>
      </c>
      <c r="K120" s="293"/>
      <c r="L120" s="293"/>
      <c r="M120" s="1"/>
    </row>
    <row r="121" spans="1:13" s="3" customFormat="1" ht="15" customHeight="1">
      <c r="A121" s="1"/>
      <c r="B121" s="13"/>
      <c r="C121" s="16"/>
      <c r="D121" s="13"/>
      <c r="E121" s="1"/>
      <c r="F121" s="10"/>
      <c r="G121" s="10"/>
      <c r="H121" s="10"/>
      <c r="I121" s="10"/>
      <c r="J121" s="10"/>
      <c r="K121" s="10"/>
      <c r="L121" s="10"/>
      <c r="M121" s="1"/>
    </row>
    <row r="122" spans="1:13" s="3" customFormat="1" ht="15.75" customHeight="1">
      <c r="A122" s="1"/>
      <c r="B122" s="18" t="s">
        <v>116</v>
      </c>
      <c r="C122" s="16"/>
      <c r="D122" s="18" t="s">
        <v>118</v>
      </c>
      <c r="E122" s="1"/>
      <c r="F122" s="10"/>
      <c r="G122" s="37"/>
      <c r="H122" s="22" t="s">
        <v>19</v>
      </c>
      <c r="I122" s="37"/>
      <c r="J122" s="18" t="s">
        <v>20</v>
      </c>
      <c r="K122" s="293"/>
      <c r="L122" s="293"/>
      <c r="M122" s="1"/>
    </row>
    <row r="123" spans="1:13" s="3" customFormat="1" ht="6.75" customHeight="1">
      <c r="A123" s="1"/>
      <c r="B123" s="18"/>
      <c r="C123" s="16"/>
      <c r="D123" s="18"/>
      <c r="E123" s="1"/>
      <c r="F123" s="10"/>
      <c r="G123" s="22"/>
      <c r="H123" s="22"/>
      <c r="I123" s="22"/>
      <c r="J123" s="18"/>
      <c r="K123" s="25"/>
      <c r="L123" s="25"/>
      <c r="M123" s="1"/>
    </row>
    <row r="124" spans="1:13" s="3" customFormat="1" ht="15.75" customHeight="1">
      <c r="A124" s="1"/>
      <c r="B124" s="18"/>
      <c r="C124" s="16"/>
      <c r="D124" s="18" t="s">
        <v>117</v>
      </c>
      <c r="E124" s="1"/>
      <c r="F124" s="10"/>
      <c r="G124" s="293"/>
      <c r="H124" s="293"/>
      <c r="I124" s="293"/>
      <c r="J124" s="18"/>
      <c r="K124" s="25"/>
      <c r="L124" s="25"/>
      <c r="M124" s="1"/>
    </row>
    <row r="125" spans="1:13" s="3" customFormat="1" ht="7.5" customHeight="1">
      <c r="A125" s="1"/>
      <c r="B125" s="18"/>
      <c r="C125" s="16"/>
      <c r="D125" s="18"/>
      <c r="E125" s="1"/>
      <c r="F125" s="10"/>
      <c r="G125" s="25"/>
      <c r="H125" s="25"/>
      <c r="I125" s="25"/>
      <c r="J125" s="18"/>
      <c r="K125" s="25"/>
      <c r="L125" s="25"/>
      <c r="M125" s="1"/>
    </row>
    <row r="126" spans="1:13" s="3" customFormat="1" ht="15.75" customHeight="1">
      <c r="A126" s="1"/>
      <c r="B126" s="18"/>
      <c r="C126" s="16"/>
      <c r="D126" s="292" t="s">
        <v>119</v>
      </c>
      <c r="E126" s="292"/>
      <c r="F126" s="292"/>
      <c r="G126" s="37"/>
      <c r="H126" s="22" t="s">
        <v>19</v>
      </c>
      <c r="I126" s="37"/>
      <c r="J126" s="18" t="s">
        <v>20</v>
      </c>
      <c r="K126" s="293"/>
      <c r="L126" s="293"/>
      <c r="M126" s="1"/>
    </row>
    <row r="127" spans="1:13" s="3" customFormat="1" ht="15.75" customHeight="1">
      <c r="A127" s="1"/>
      <c r="B127" s="13"/>
      <c r="C127" s="16"/>
      <c r="D127" s="292"/>
      <c r="E127" s="292"/>
      <c r="F127" s="292"/>
      <c r="G127" s="10"/>
      <c r="H127" s="10"/>
      <c r="I127" s="10"/>
      <c r="J127" s="10"/>
      <c r="K127" s="10"/>
      <c r="L127" s="10"/>
      <c r="M127" s="1"/>
    </row>
    <row r="128" spans="1:13" s="3" customFormat="1" ht="15.75" customHeight="1">
      <c r="A128" s="1"/>
      <c r="B128" s="13"/>
      <c r="C128" s="16"/>
      <c r="D128" s="39"/>
      <c r="E128" s="39"/>
      <c r="F128" s="39"/>
      <c r="G128" s="10"/>
      <c r="H128" s="10"/>
      <c r="I128" s="10"/>
      <c r="J128" s="10"/>
      <c r="K128" s="10"/>
      <c r="L128" s="10"/>
      <c r="M128" s="1"/>
    </row>
    <row r="129" spans="1:13" s="3" customFormat="1" ht="15.75" customHeight="1">
      <c r="A129" s="1"/>
      <c r="B129" s="30" t="s">
        <v>219</v>
      </c>
      <c r="C129" s="16"/>
      <c r="D129" s="13"/>
      <c r="E129" s="10"/>
      <c r="F129" s="10"/>
      <c r="G129" s="10"/>
      <c r="H129" s="10"/>
      <c r="I129" s="10"/>
      <c r="J129" s="10"/>
      <c r="K129" s="298"/>
      <c r="L129" s="299"/>
      <c r="M129" s="1"/>
    </row>
    <row r="130" spans="1:13" s="3" customFormat="1" ht="15.75" customHeight="1">
      <c r="A130" s="1"/>
      <c r="B130" s="12"/>
      <c r="C130" s="22" t="s">
        <v>68</v>
      </c>
      <c r="D130" s="13"/>
      <c r="E130" s="10"/>
      <c r="F130" s="10"/>
      <c r="G130" s="293"/>
      <c r="H130" s="293"/>
      <c r="I130" s="10"/>
      <c r="J130" s="10"/>
      <c r="K130" s="10"/>
      <c r="L130" s="10"/>
      <c r="M130" s="1"/>
    </row>
    <row r="131" spans="1:13" s="3" customFormat="1" ht="15.75" customHeight="1">
      <c r="A131" s="1"/>
      <c r="B131" s="12"/>
      <c r="C131" s="16"/>
      <c r="D131" s="13"/>
      <c r="E131" s="10"/>
      <c r="F131" s="10"/>
      <c r="G131" s="10"/>
      <c r="H131" s="10"/>
      <c r="I131" s="10"/>
      <c r="J131" s="10"/>
      <c r="K131" s="39"/>
      <c r="L131" s="38"/>
      <c r="M131" s="1"/>
    </row>
    <row r="132" spans="1:13" s="3" customFormat="1" ht="15.75" customHeight="1">
      <c r="A132" s="1"/>
      <c r="B132" s="12"/>
      <c r="C132" s="22" t="s">
        <v>62</v>
      </c>
      <c r="D132" s="13"/>
      <c r="E132" s="10"/>
      <c r="F132" s="10"/>
      <c r="G132" s="37"/>
      <c r="H132" s="22" t="s">
        <v>19</v>
      </c>
      <c r="I132" s="37"/>
      <c r="J132" s="18" t="s">
        <v>20</v>
      </c>
      <c r="K132" s="39"/>
      <c r="L132" s="38"/>
      <c r="M132" s="1"/>
    </row>
    <row r="133" spans="1:13" s="3" customFormat="1" ht="5.25" customHeight="1">
      <c r="A133" s="1"/>
      <c r="B133" s="12"/>
      <c r="C133" s="22"/>
      <c r="D133" s="13"/>
      <c r="E133" s="10"/>
      <c r="F133" s="10"/>
      <c r="G133" s="22"/>
      <c r="H133" s="22"/>
      <c r="I133" s="22"/>
      <c r="J133" s="18"/>
      <c r="K133" s="39"/>
      <c r="L133" s="38"/>
      <c r="M133" s="1"/>
    </row>
    <row r="134" spans="1:13" s="3" customFormat="1" ht="16.5" customHeight="1">
      <c r="A134" s="1"/>
      <c r="B134" s="12"/>
      <c r="C134" s="22" t="s">
        <v>63</v>
      </c>
      <c r="D134" s="13"/>
      <c r="E134" s="10"/>
      <c r="F134" s="10"/>
      <c r="G134" s="293"/>
      <c r="H134" s="293"/>
      <c r="I134" s="10"/>
      <c r="J134" s="10"/>
      <c r="K134" s="39"/>
      <c r="L134" s="38"/>
      <c r="M134" s="1"/>
    </row>
    <row r="135" spans="1:13" s="3" customFormat="1" ht="18" customHeight="1">
      <c r="A135" s="1"/>
      <c r="B135" s="12"/>
      <c r="C135" s="16"/>
      <c r="D135" s="13"/>
      <c r="E135" s="10"/>
      <c r="F135" s="10"/>
      <c r="G135" s="10"/>
      <c r="H135" s="10"/>
      <c r="I135" s="10"/>
      <c r="J135" s="10"/>
      <c r="K135" s="298" t="s">
        <v>56</v>
      </c>
      <c r="L135" s="299"/>
      <c r="M135" s="1"/>
    </row>
    <row r="136" spans="1:13" s="3" customFormat="1" ht="15.75" customHeight="1">
      <c r="A136" s="1"/>
      <c r="B136" s="13"/>
      <c r="C136" s="16"/>
      <c r="D136" s="18" t="s">
        <v>58</v>
      </c>
      <c r="E136" s="10"/>
      <c r="F136" s="10"/>
      <c r="G136" s="37"/>
      <c r="H136" s="22" t="s">
        <v>19</v>
      </c>
      <c r="I136" s="37"/>
      <c r="J136" s="18" t="s">
        <v>20</v>
      </c>
      <c r="K136" s="293"/>
      <c r="L136" s="293"/>
      <c r="M136" s="1"/>
    </row>
    <row r="137" spans="1:13" s="3" customFormat="1" ht="5.25" customHeight="1">
      <c r="A137" s="1"/>
      <c r="B137" s="13"/>
      <c r="C137" s="16"/>
      <c r="D137" s="18"/>
      <c r="E137" s="10"/>
      <c r="F137" s="10"/>
      <c r="G137" s="22"/>
      <c r="H137" s="22"/>
      <c r="I137" s="22"/>
      <c r="J137" s="18"/>
      <c r="K137" s="25"/>
      <c r="L137" s="25"/>
      <c r="M137" s="1"/>
    </row>
    <row r="138" spans="1:13" s="3" customFormat="1" ht="15.75" customHeight="1">
      <c r="A138" s="1"/>
      <c r="B138" s="13"/>
      <c r="C138" s="16"/>
      <c r="D138" s="18" t="s">
        <v>59</v>
      </c>
      <c r="E138" s="10"/>
      <c r="F138" s="10"/>
      <c r="G138" s="37"/>
      <c r="H138" s="22" t="s">
        <v>19</v>
      </c>
      <c r="I138" s="37"/>
      <c r="J138" s="18" t="s">
        <v>20</v>
      </c>
      <c r="K138" s="293"/>
      <c r="L138" s="293"/>
      <c r="M138" s="1"/>
    </row>
    <row r="139" spans="1:13" s="3" customFormat="1" ht="4.5" customHeight="1">
      <c r="A139" s="1"/>
      <c r="B139" s="13"/>
      <c r="C139" s="16"/>
      <c r="D139" s="13"/>
      <c r="E139" s="10"/>
      <c r="F139" s="10"/>
      <c r="G139" s="10"/>
      <c r="H139" s="10"/>
      <c r="I139" s="10"/>
      <c r="J139" s="10"/>
      <c r="K139" s="10"/>
      <c r="L139" s="10"/>
      <c r="M139" s="1"/>
    </row>
    <row r="140" spans="1:13" s="3" customFormat="1" ht="15" customHeight="1">
      <c r="A140" s="1"/>
      <c r="B140" s="13"/>
      <c r="C140" s="16"/>
      <c r="D140" s="18" t="s">
        <v>70</v>
      </c>
      <c r="E140" s="10"/>
      <c r="F140" s="10"/>
      <c r="G140" s="37"/>
      <c r="H140" s="22" t="s">
        <v>19</v>
      </c>
      <c r="I140" s="37"/>
      <c r="J140" s="18" t="s">
        <v>20</v>
      </c>
      <c r="K140" s="40"/>
      <c r="L140" s="40"/>
      <c r="M140" s="1"/>
    </row>
    <row r="141" spans="1:13" s="3" customFormat="1" ht="5.25" customHeight="1">
      <c r="A141" s="1"/>
      <c r="B141" s="13"/>
      <c r="C141" s="16"/>
      <c r="D141" s="13"/>
      <c r="E141" s="10"/>
      <c r="F141" s="10"/>
      <c r="G141" s="10"/>
      <c r="H141" s="10"/>
      <c r="I141" s="10"/>
      <c r="J141" s="10"/>
      <c r="K141" s="10"/>
      <c r="L141" s="10"/>
      <c r="M141" s="1"/>
    </row>
    <row r="142" spans="1:13" s="3" customFormat="1" ht="15" customHeight="1">
      <c r="A142" s="1"/>
      <c r="B142" s="13"/>
      <c r="C142" s="16"/>
      <c r="D142" s="18" t="s">
        <v>71</v>
      </c>
      <c r="E142" s="10"/>
      <c r="F142" s="10"/>
      <c r="G142" s="37"/>
      <c r="H142" s="22" t="s">
        <v>19</v>
      </c>
      <c r="I142" s="37"/>
      <c r="J142" s="18" t="s">
        <v>20</v>
      </c>
      <c r="K142" s="40"/>
      <c r="L142" s="40"/>
      <c r="M142" s="1"/>
    </row>
    <row r="143" spans="1:13" s="3" customFormat="1" ht="7.5" customHeight="1">
      <c r="A143" s="1"/>
      <c r="B143" s="13"/>
      <c r="C143" s="16"/>
      <c r="D143" s="18"/>
      <c r="E143" s="10"/>
      <c r="F143" s="10"/>
      <c r="G143" s="22"/>
      <c r="H143" s="22"/>
      <c r="I143" s="22"/>
      <c r="J143" s="18"/>
      <c r="K143" s="25"/>
      <c r="L143" s="25"/>
      <c r="M143" s="1"/>
    </row>
    <row r="144" spans="1:13" s="3" customFormat="1" ht="12.75" customHeight="1">
      <c r="A144" s="1"/>
      <c r="B144" s="13"/>
      <c r="C144" s="16"/>
      <c r="D144" s="18" t="s">
        <v>103</v>
      </c>
      <c r="E144" s="10"/>
      <c r="F144" s="10"/>
      <c r="G144" s="37"/>
      <c r="H144" s="22" t="s">
        <v>19</v>
      </c>
      <c r="I144" s="37"/>
      <c r="J144" s="18" t="s">
        <v>20</v>
      </c>
      <c r="K144" s="40"/>
      <c r="L144" s="40"/>
      <c r="M144" s="1"/>
    </row>
    <row r="145" spans="1:13" s="3" customFormat="1" ht="17.25" customHeight="1">
      <c r="A145" s="1"/>
      <c r="B145" s="13"/>
      <c r="C145" s="16"/>
      <c r="D145" s="18" t="s">
        <v>104</v>
      </c>
      <c r="E145" s="10"/>
      <c r="F145" s="10"/>
      <c r="G145" s="22"/>
      <c r="H145" s="22"/>
      <c r="I145" s="22"/>
      <c r="J145" s="18"/>
      <c r="K145" s="202"/>
      <c r="L145" s="202"/>
      <c r="M145" s="1"/>
    </row>
    <row r="146" spans="1:13" s="3" customFormat="1" ht="4.5" customHeight="1">
      <c r="A146" s="1"/>
      <c r="B146" s="13"/>
      <c r="C146" s="16"/>
      <c r="D146" s="18"/>
      <c r="E146" s="10"/>
      <c r="F146" s="10"/>
      <c r="G146" s="22"/>
      <c r="H146" s="22"/>
      <c r="I146" s="22"/>
      <c r="J146" s="18"/>
      <c r="K146" s="25"/>
      <c r="L146" s="25"/>
      <c r="M146" s="1"/>
    </row>
    <row r="147" spans="1:13" s="3" customFormat="1" ht="15" customHeight="1">
      <c r="A147" s="1"/>
      <c r="B147" s="13"/>
      <c r="C147" s="16"/>
      <c r="D147" s="18" t="s">
        <v>72</v>
      </c>
      <c r="E147" s="10"/>
      <c r="F147" s="10"/>
      <c r="G147" s="40"/>
      <c r="H147" s="40"/>
      <c r="I147" s="22"/>
      <c r="J147" s="18"/>
      <c r="K147" s="49"/>
      <c r="L147" s="49"/>
      <c r="M147" s="1"/>
    </row>
    <row r="148" spans="1:13" s="3" customFormat="1" ht="6.75" customHeight="1">
      <c r="A148" s="1"/>
      <c r="B148" s="13"/>
      <c r="C148" s="16"/>
      <c r="D148" s="18"/>
      <c r="E148" s="10"/>
      <c r="F148" s="10"/>
      <c r="G148" s="22"/>
      <c r="H148" s="22"/>
      <c r="I148" s="22"/>
      <c r="J148" s="18"/>
      <c r="K148" s="25"/>
      <c r="L148" s="25"/>
      <c r="M148" s="1"/>
    </row>
    <row r="149" spans="1:13" s="3" customFormat="1" ht="19.5" customHeight="1">
      <c r="A149" s="1"/>
      <c r="B149" s="13"/>
      <c r="C149" s="16"/>
      <c r="D149" s="18" t="s">
        <v>73</v>
      </c>
      <c r="E149" s="10"/>
      <c r="F149" s="10"/>
      <c r="G149" s="40"/>
      <c r="H149" s="40"/>
      <c r="I149" s="40"/>
      <c r="J149" s="40"/>
      <c r="K149" s="40"/>
      <c r="L149" s="40"/>
      <c r="M149" s="1"/>
    </row>
    <row r="150" spans="1:13" s="3" customFormat="1" ht="19.5" customHeight="1">
      <c r="A150" s="1"/>
      <c r="B150" s="13"/>
      <c r="C150" s="16"/>
      <c r="D150" s="13"/>
      <c r="E150" s="10"/>
      <c r="F150" s="10"/>
      <c r="G150" s="202"/>
      <c r="H150" s="202"/>
      <c r="I150" s="202"/>
      <c r="J150" s="202"/>
      <c r="K150" s="202"/>
      <c r="L150" s="202"/>
      <c r="M150" s="1"/>
    </row>
    <row r="151" spans="1:13" s="3" customFormat="1" ht="9.75" customHeight="1">
      <c r="A151" s="1"/>
      <c r="B151" s="13"/>
      <c r="C151" s="16"/>
      <c r="D151" s="13"/>
      <c r="E151" s="10"/>
      <c r="F151" s="10"/>
      <c r="G151" s="10"/>
      <c r="H151" s="10"/>
      <c r="I151" s="10"/>
      <c r="J151" s="10"/>
      <c r="K151" s="10"/>
      <c r="L151" s="10"/>
      <c r="M151" s="1"/>
    </row>
    <row r="152" spans="1:13" s="3" customFormat="1" ht="15.75" customHeight="1">
      <c r="A152" s="1"/>
      <c r="B152" s="13"/>
      <c r="C152" s="16"/>
      <c r="D152" s="18" t="s">
        <v>60</v>
      </c>
      <c r="E152" s="10"/>
      <c r="F152" s="10"/>
      <c r="G152" s="37"/>
      <c r="H152" s="22" t="s">
        <v>19</v>
      </c>
      <c r="I152" s="37"/>
      <c r="J152" s="18" t="s">
        <v>20</v>
      </c>
      <c r="K152" s="40"/>
      <c r="L152" s="40"/>
      <c r="M152" s="1"/>
    </row>
    <row r="153" spans="1:13" s="3" customFormat="1" ht="6" customHeight="1">
      <c r="A153" s="1"/>
      <c r="B153" s="13"/>
      <c r="C153" s="16"/>
      <c r="D153" s="18"/>
      <c r="E153" s="10"/>
      <c r="F153" s="10"/>
      <c r="G153" s="22"/>
      <c r="H153" s="22"/>
      <c r="I153" s="22"/>
      <c r="J153" s="18"/>
      <c r="K153" s="25"/>
      <c r="L153" s="25"/>
      <c r="M153" s="1"/>
    </row>
    <row r="154" spans="1:13" s="3" customFormat="1">
      <c r="A154" s="1"/>
      <c r="B154" s="13"/>
      <c r="C154" s="16"/>
      <c r="D154" s="18" t="s">
        <v>69</v>
      </c>
      <c r="E154" s="10"/>
      <c r="F154" s="10"/>
      <c r="G154" s="37"/>
      <c r="H154" s="22" t="s">
        <v>19</v>
      </c>
      <c r="I154" s="37"/>
      <c r="J154" s="18" t="s">
        <v>20</v>
      </c>
      <c r="K154" s="40"/>
      <c r="L154" s="40"/>
      <c r="M154" s="1"/>
    </row>
    <row r="155" spans="1:13" s="3" customFormat="1" ht="6.75" customHeight="1">
      <c r="A155" s="1"/>
      <c r="B155" s="13"/>
      <c r="C155" s="16"/>
      <c r="D155" s="13"/>
      <c r="E155" s="10"/>
      <c r="F155" s="10"/>
      <c r="G155" s="10"/>
      <c r="H155" s="10"/>
      <c r="I155" s="10"/>
      <c r="J155" s="10"/>
      <c r="K155" s="10"/>
      <c r="L155" s="10"/>
      <c r="M155" s="1"/>
    </row>
    <row r="156" spans="1:13" s="3" customFormat="1">
      <c r="A156" s="1"/>
      <c r="B156" s="13"/>
      <c r="C156" s="16"/>
      <c r="D156" s="18" t="s">
        <v>64</v>
      </c>
      <c r="E156" s="10"/>
      <c r="F156" s="10"/>
      <c r="G156" s="37"/>
      <c r="H156" s="22" t="s">
        <v>19</v>
      </c>
      <c r="I156" s="37"/>
      <c r="J156" s="18" t="s">
        <v>20</v>
      </c>
      <c r="K156" s="293"/>
      <c r="L156" s="293"/>
      <c r="M156" s="1"/>
    </row>
    <row r="157" spans="1:13" s="3" customFormat="1" ht="6.75" customHeight="1">
      <c r="A157" s="1"/>
      <c r="B157" s="13"/>
      <c r="C157" s="16"/>
      <c r="D157" s="18"/>
      <c r="E157" s="10"/>
      <c r="F157" s="10"/>
      <c r="G157" s="22"/>
      <c r="H157" s="22"/>
      <c r="I157" s="22"/>
      <c r="J157" s="18"/>
      <c r="K157" s="25"/>
      <c r="L157" s="25"/>
      <c r="M157" s="1"/>
    </row>
    <row r="158" spans="1:13" s="3" customFormat="1">
      <c r="A158" s="1"/>
      <c r="B158" s="13"/>
      <c r="C158" s="16"/>
      <c r="D158" s="18" t="s">
        <v>112</v>
      </c>
      <c r="E158" s="10"/>
      <c r="F158" s="10"/>
      <c r="G158" s="37"/>
      <c r="H158" s="22" t="s">
        <v>19</v>
      </c>
      <c r="I158" s="37"/>
      <c r="J158" s="18" t="s">
        <v>20</v>
      </c>
      <c r="K158" s="293"/>
      <c r="L158" s="293"/>
      <c r="M158" s="1"/>
    </row>
    <row r="159" spans="1:13" s="3" customFormat="1">
      <c r="A159" s="1"/>
      <c r="B159" s="13"/>
      <c r="C159" s="16"/>
      <c r="D159" s="18"/>
      <c r="E159" s="10"/>
      <c r="F159" s="10"/>
      <c r="G159" s="22"/>
      <c r="H159" s="22"/>
      <c r="I159" s="22"/>
      <c r="J159" s="18"/>
      <c r="K159" s="25"/>
      <c r="L159" s="25"/>
      <c r="M159" s="1"/>
    </row>
    <row r="160" spans="1:13" s="3" customFormat="1">
      <c r="A160" s="1"/>
      <c r="B160" s="13"/>
      <c r="C160" s="16"/>
      <c r="D160" s="18"/>
      <c r="E160" s="10"/>
      <c r="F160" s="10"/>
      <c r="G160" s="22"/>
      <c r="H160" s="22"/>
      <c r="I160" s="22"/>
      <c r="J160" s="18"/>
      <c r="K160" s="25"/>
      <c r="L160" s="25"/>
      <c r="M160" s="1"/>
    </row>
    <row r="161" spans="1:13" s="3" customFormat="1">
      <c r="A161" s="1"/>
      <c r="B161" s="30" t="s">
        <v>74</v>
      </c>
      <c r="C161" s="16"/>
      <c r="D161" s="18"/>
      <c r="E161" s="10"/>
      <c r="F161" s="10"/>
      <c r="G161" s="22"/>
      <c r="H161" s="22"/>
      <c r="I161" s="22"/>
      <c r="J161" s="18"/>
      <c r="K161" s="25"/>
      <c r="L161" s="25"/>
      <c r="M161" s="1"/>
    </row>
    <row r="162" spans="1:13" s="3" customFormat="1">
      <c r="A162" s="1"/>
      <c r="B162" s="13"/>
      <c r="C162" s="22" t="s">
        <v>76</v>
      </c>
      <c r="D162" s="13"/>
      <c r="E162" s="10"/>
      <c r="F162" s="10"/>
      <c r="G162" s="293"/>
      <c r="H162" s="293"/>
      <c r="I162" s="10"/>
      <c r="J162" s="10"/>
      <c r="K162" s="10"/>
      <c r="L162" s="10"/>
      <c r="M162" s="1"/>
    </row>
    <row r="163" spans="1:13" s="3" customFormat="1" ht="6.75" customHeight="1">
      <c r="A163" s="1"/>
      <c r="B163" s="18"/>
      <c r="C163" s="16"/>
      <c r="D163" s="13"/>
      <c r="E163" s="10"/>
      <c r="F163" s="10"/>
      <c r="G163" s="10"/>
      <c r="H163" s="10"/>
      <c r="I163" s="10"/>
      <c r="J163" s="10"/>
      <c r="K163" s="10"/>
      <c r="L163" s="10"/>
      <c r="M163" s="1"/>
    </row>
    <row r="164" spans="1:13" s="3" customFormat="1">
      <c r="A164" s="1"/>
      <c r="B164" s="13"/>
      <c r="C164" s="22" t="s">
        <v>75</v>
      </c>
      <c r="D164" s="18"/>
      <c r="E164" s="10"/>
      <c r="F164" s="10"/>
      <c r="G164" s="297"/>
      <c r="H164" s="297"/>
      <c r="I164" s="10"/>
      <c r="J164" s="10"/>
      <c r="K164" s="10"/>
      <c r="L164" s="10"/>
      <c r="M164" s="1"/>
    </row>
    <row r="165" spans="1:13" s="3" customFormat="1">
      <c r="A165" s="1"/>
      <c r="B165" s="13"/>
      <c r="C165" s="16"/>
      <c r="D165" s="18"/>
      <c r="E165" s="10"/>
      <c r="F165" s="10"/>
      <c r="G165" s="10"/>
      <c r="H165" s="10"/>
      <c r="I165" s="10"/>
      <c r="J165" s="10"/>
      <c r="K165" s="10"/>
      <c r="L165" s="10"/>
      <c r="M165" s="1"/>
    </row>
    <row r="166" spans="1:13" s="3" customFormat="1">
      <c r="A166" s="1"/>
      <c r="B166" s="30" t="s">
        <v>220</v>
      </c>
      <c r="C166" s="16"/>
      <c r="D166" s="13"/>
      <c r="E166" s="10"/>
      <c r="F166" s="10"/>
      <c r="G166" s="10"/>
      <c r="H166" s="10"/>
      <c r="I166" s="10"/>
      <c r="J166" s="10"/>
      <c r="K166" s="10"/>
      <c r="L166" s="10"/>
      <c r="M166" s="1"/>
    </row>
    <row r="167" spans="1:13" s="3" customFormat="1">
      <c r="A167" s="1"/>
      <c r="B167" s="30"/>
      <c r="C167" s="22" t="s">
        <v>113</v>
      </c>
      <c r="D167" s="13"/>
      <c r="E167" s="10"/>
      <c r="F167" s="10"/>
      <c r="G167" s="37"/>
      <c r="H167" s="22" t="s">
        <v>114</v>
      </c>
      <c r="I167" s="37"/>
      <c r="J167" s="18" t="s">
        <v>115</v>
      </c>
      <c r="K167" s="293"/>
      <c r="L167" s="293"/>
      <c r="M167" s="1"/>
    </row>
    <row r="168" spans="1:13" s="3" customFormat="1" ht="3.75" customHeight="1">
      <c r="A168" s="1"/>
      <c r="B168" s="30"/>
      <c r="C168" s="22"/>
      <c r="D168" s="13"/>
      <c r="E168" s="10"/>
      <c r="F168" s="10"/>
      <c r="G168" s="22"/>
      <c r="H168" s="22"/>
      <c r="I168" s="22"/>
      <c r="J168" s="18"/>
      <c r="K168" s="25"/>
      <c r="L168" s="25"/>
      <c r="M168" s="1"/>
    </row>
    <row r="169" spans="1:13" s="3" customFormat="1">
      <c r="A169" s="1"/>
      <c r="B169" s="13"/>
      <c r="C169" s="22" t="s">
        <v>120</v>
      </c>
      <c r="D169" s="13"/>
      <c r="E169" s="10"/>
      <c r="F169" s="10"/>
      <c r="G169" s="293"/>
      <c r="H169" s="293"/>
      <c r="I169" s="10"/>
      <c r="J169" s="10"/>
      <c r="K169" s="10"/>
      <c r="L169" s="10"/>
      <c r="M169" s="1"/>
    </row>
    <row r="170" spans="1:13" s="3" customFormat="1">
      <c r="A170" s="1"/>
      <c r="B170" s="13"/>
      <c r="C170" s="16"/>
      <c r="D170" s="13"/>
      <c r="E170" s="10"/>
      <c r="F170" s="10"/>
      <c r="G170" s="10"/>
      <c r="H170" s="10"/>
      <c r="I170" s="10"/>
      <c r="J170" s="10"/>
      <c r="K170" s="10"/>
      <c r="L170" s="10"/>
      <c r="M170" s="1"/>
    </row>
    <row r="171" spans="1:13" s="3" customFormat="1">
      <c r="A171" s="152" t="s">
        <v>13</v>
      </c>
      <c r="B171" s="149"/>
      <c r="C171" s="154"/>
      <c r="D171" s="155"/>
      <c r="E171" s="153"/>
      <c r="F171" s="153"/>
      <c r="G171" s="153"/>
      <c r="H171" s="153"/>
      <c r="I171" s="153"/>
      <c r="J171" s="153"/>
      <c r="K171" s="153"/>
      <c r="L171" s="153"/>
      <c r="M171" s="149"/>
    </row>
    <row r="172" spans="1:13" s="3" customFormat="1">
      <c r="A172" s="1"/>
      <c r="B172" s="12"/>
      <c r="C172" s="16"/>
      <c r="D172" s="13"/>
      <c r="E172" s="10"/>
      <c r="F172" s="10"/>
      <c r="G172" s="187" t="s">
        <v>221</v>
      </c>
      <c r="H172" s="187"/>
      <c r="I172" s="10"/>
      <c r="J172" s="10"/>
      <c r="K172" s="10"/>
      <c r="L172" s="10"/>
      <c r="M172" s="1"/>
    </row>
    <row r="173" spans="1:13" s="3" customFormat="1">
      <c r="A173" s="1"/>
      <c r="B173" s="18" t="s">
        <v>77</v>
      </c>
      <c r="C173" s="16"/>
      <c r="D173" s="13" t="s">
        <v>8</v>
      </c>
      <c r="E173" s="19"/>
      <c r="F173" s="18" t="s">
        <v>78</v>
      </c>
      <c r="G173" s="10"/>
      <c r="H173" s="10"/>
      <c r="I173" s="10"/>
      <c r="J173" s="10"/>
      <c r="K173" s="10"/>
      <c r="L173" s="10"/>
      <c r="M173" s="1"/>
    </row>
    <row r="174" spans="1:13" s="3" customFormat="1">
      <c r="A174" s="1"/>
      <c r="B174" s="12"/>
      <c r="C174" s="16"/>
      <c r="D174" s="13" t="s">
        <v>9</v>
      </c>
      <c r="E174" s="41"/>
      <c r="F174" s="18" t="s">
        <v>78</v>
      </c>
      <c r="G174" s="10"/>
      <c r="H174" s="10"/>
      <c r="I174" s="10"/>
      <c r="J174" s="10"/>
      <c r="K174" s="10"/>
      <c r="L174" s="10"/>
      <c r="M174" s="1"/>
    </row>
    <row r="175" spans="1:13" s="3" customFormat="1">
      <c r="A175" s="1"/>
      <c r="B175" s="18"/>
      <c r="C175" s="16"/>
      <c r="D175" s="13" t="s">
        <v>10</v>
      </c>
      <c r="E175" s="44"/>
      <c r="F175" s="18" t="s">
        <v>78</v>
      </c>
      <c r="G175" s="10"/>
      <c r="H175" s="10"/>
      <c r="I175" s="10"/>
      <c r="J175" s="10"/>
      <c r="K175" s="10"/>
      <c r="L175" s="10"/>
      <c r="M175" s="1"/>
    </row>
    <row r="176" spans="1:13" s="3" customFormat="1" ht="10.5" customHeight="1">
      <c r="A176" s="1"/>
      <c r="B176" s="18"/>
      <c r="C176" s="16"/>
      <c r="D176" s="13"/>
      <c r="E176" s="44"/>
      <c r="F176" s="18"/>
      <c r="G176" s="10"/>
      <c r="H176" s="10"/>
      <c r="I176" s="10"/>
      <c r="J176" s="10"/>
      <c r="K176" s="10"/>
      <c r="L176" s="10"/>
      <c r="M176" s="1"/>
    </row>
    <row r="177" spans="1:13" s="3" customFormat="1" ht="14.25" customHeight="1">
      <c r="A177" s="1"/>
      <c r="B177" s="18" t="s">
        <v>83</v>
      </c>
      <c r="C177" s="16"/>
      <c r="D177" s="18" t="s">
        <v>11</v>
      </c>
      <c r="E177" s="19"/>
      <c r="F177" s="18"/>
      <c r="G177" s="10"/>
      <c r="H177" s="10"/>
      <c r="I177" s="10"/>
      <c r="J177" s="10"/>
      <c r="K177" s="10"/>
      <c r="L177" s="10"/>
      <c r="M177" s="1"/>
    </row>
    <row r="178" spans="1:13" s="3" customFormat="1" ht="15" customHeight="1">
      <c r="A178" s="1"/>
      <c r="B178" s="18"/>
      <c r="C178" s="16"/>
      <c r="D178" s="18" t="s">
        <v>84</v>
      </c>
      <c r="E178" s="41"/>
      <c r="F178" s="18" t="s">
        <v>85</v>
      </c>
      <c r="G178" s="10"/>
      <c r="H178" s="10"/>
      <c r="I178" s="10"/>
      <c r="J178" s="10"/>
      <c r="K178" s="10"/>
      <c r="L178" s="10"/>
      <c r="M178" s="1"/>
    </row>
    <row r="179" spans="1:13" s="3" customFormat="1" ht="7.5" customHeight="1">
      <c r="A179" s="1"/>
      <c r="B179" s="18"/>
      <c r="C179" s="16"/>
      <c r="D179" s="13"/>
      <c r="E179" s="20"/>
      <c r="F179" s="18"/>
      <c r="G179" s="10"/>
      <c r="H179" s="10"/>
      <c r="I179" s="10"/>
      <c r="J179" s="10"/>
      <c r="K179" s="10"/>
      <c r="L179" s="10"/>
      <c r="M179" s="1"/>
    </row>
    <row r="180" spans="1:13" s="3" customFormat="1">
      <c r="A180" s="1"/>
      <c r="B180" s="18" t="s">
        <v>79</v>
      </c>
      <c r="C180" s="16"/>
      <c r="D180" s="294"/>
      <c r="E180" s="294"/>
      <c r="F180" s="294"/>
      <c r="G180" s="294"/>
      <c r="H180" s="294"/>
      <c r="I180" s="294"/>
      <c r="J180" s="294"/>
      <c r="K180" s="295" t="s">
        <v>50</v>
      </c>
      <c r="L180" s="296"/>
      <c r="M180" s="1"/>
    </row>
    <row r="181" spans="1:13" s="3" customFormat="1" ht="9.75" customHeight="1">
      <c r="A181" s="1"/>
      <c r="B181" s="18"/>
      <c r="C181" s="16"/>
      <c r="D181" s="13"/>
      <c r="E181" s="20"/>
      <c r="F181" s="18"/>
      <c r="G181" s="10"/>
      <c r="H181" s="10"/>
      <c r="I181" s="10"/>
      <c r="J181" s="10"/>
      <c r="K181" s="10"/>
      <c r="L181" s="10"/>
      <c r="M181" s="1"/>
    </row>
    <row r="182" spans="1:13" s="3" customFormat="1">
      <c r="A182" s="1"/>
      <c r="B182" s="18" t="s">
        <v>80</v>
      </c>
      <c r="C182" s="16"/>
      <c r="D182" s="13"/>
      <c r="E182" s="40"/>
      <c r="F182" s="43"/>
      <c r="G182" s="23"/>
      <c r="H182" s="23"/>
      <c r="I182" s="10"/>
      <c r="J182" s="10"/>
      <c r="K182" s="296"/>
      <c r="L182" s="296"/>
      <c r="M182" s="1"/>
    </row>
    <row r="183" spans="1:13" s="3" customFormat="1" ht="6.75" customHeight="1">
      <c r="A183" s="1"/>
      <c r="B183" s="18"/>
      <c r="C183" s="16"/>
      <c r="D183" s="13"/>
      <c r="E183" s="20"/>
      <c r="F183" s="18"/>
      <c r="G183" s="10"/>
      <c r="H183" s="10"/>
      <c r="I183" s="10"/>
      <c r="J183" s="10"/>
      <c r="K183" s="10"/>
      <c r="L183" s="10"/>
      <c r="M183" s="1"/>
    </row>
    <row r="184" spans="1:13" s="3" customFormat="1">
      <c r="A184" s="1"/>
      <c r="B184" s="18" t="s">
        <v>81</v>
      </c>
      <c r="C184" s="16"/>
      <c r="D184" s="13"/>
      <c r="E184" s="20"/>
      <c r="F184" s="18"/>
      <c r="G184" s="37"/>
      <c r="H184" s="22" t="s">
        <v>19</v>
      </c>
      <c r="I184" s="37"/>
      <c r="J184" s="18" t="s">
        <v>20</v>
      </c>
      <c r="K184" s="293"/>
      <c r="L184" s="293"/>
      <c r="M184" s="1"/>
    </row>
    <row r="185" spans="1:13" s="3" customFormat="1">
      <c r="A185" s="1"/>
      <c r="B185" s="42" t="s">
        <v>82</v>
      </c>
      <c r="C185" s="16"/>
      <c r="D185" s="13"/>
      <c r="E185" s="20"/>
      <c r="F185" s="18"/>
      <c r="G185" s="10"/>
      <c r="H185" s="10"/>
      <c r="I185" s="10"/>
      <c r="J185" s="10"/>
      <c r="K185" s="10"/>
      <c r="L185" s="10"/>
      <c r="M185" s="1"/>
    </row>
    <row r="186" spans="1:13" s="3" customFormat="1">
      <c r="A186" s="1"/>
      <c r="B186" s="18"/>
      <c r="C186" s="16"/>
      <c r="D186" s="13"/>
      <c r="E186" s="20"/>
      <c r="F186" s="18"/>
      <c r="G186" s="10"/>
      <c r="H186" s="10"/>
      <c r="I186" s="10"/>
      <c r="J186" s="10"/>
      <c r="K186" s="10"/>
      <c r="L186" s="10"/>
      <c r="M186" s="1"/>
    </row>
    <row r="187" spans="1:13" s="3" customFormat="1">
      <c r="A187" s="1"/>
      <c r="B187" s="18" t="s">
        <v>86</v>
      </c>
      <c r="C187" s="16"/>
      <c r="D187" s="13"/>
      <c r="E187" s="20"/>
      <c r="F187" s="18"/>
      <c r="G187" s="10"/>
      <c r="H187" s="10"/>
      <c r="I187" s="10"/>
      <c r="J187" s="10"/>
      <c r="K187" s="10"/>
      <c r="L187" s="10"/>
      <c r="M187" s="1"/>
    </row>
    <row r="188" spans="1:13" s="3" customFormat="1">
      <c r="A188" s="1"/>
      <c r="B188" s="18"/>
      <c r="C188" s="22" t="s">
        <v>87</v>
      </c>
      <c r="D188" s="13"/>
      <c r="E188" s="20"/>
      <c r="F188" s="18"/>
      <c r="G188" s="37"/>
      <c r="H188" s="22" t="s">
        <v>19</v>
      </c>
      <c r="I188" s="37"/>
      <c r="J188" s="18" t="s">
        <v>20</v>
      </c>
      <c r="K188" s="293"/>
      <c r="L188" s="293"/>
      <c r="M188" s="1"/>
    </row>
    <row r="189" spans="1:13" s="3" customFormat="1" ht="4.5" customHeight="1">
      <c r="A189" s="1"/>
      <c r="B189" s="18"/>
      <c r="C189" s="22"/>
      <c r="D189" s="13"/>
      <c r="E189" s="20"/>
      <c r="F189" s="18"/>
      <c r="G189" s="22"/>
      <c r="H189" s="22"/>
      <c r="I189" s="22"/>
      <c r="J189" s="18"/>
      <c r="K189" s="25"/>
      <c r="L189" s="25"/>
      <c r="M189" s="1"/>
    </row>
    <row r="190" spans="1:13" s="3" customFormat="1">
      <c r="A190" s="1"/>
      <c r="B190" s="18"/>
      <c r="C190" s="22" t="s">
        <v>88</v>
      </c>
      <c r="D190" s="13"/>
      <c r="E190" s="10"/>
      <c r="F190" s="10"/>
      <c r="G190" s="37"/>
      <c r="H190" s="22" t="s">
        <v>19</v>
      </c>
      <c r="I190" s="37"/>
      <c r="J190" s="18" t="s">
        <v>20</v>
      </c>
      <c r="K190" s="293"/>
      <c r="L190" s="293"/>
      <c r="M190" s="1"/>
    </row>
    <row r="191" spans="1:13" s="3" customFormat="1" ht="4.5" customHeight="1">
      <c r="A191" s="1"/>
      <c r="B191" s="18"/>
      <c r="C191" s="22"/>
      <c r="D191" s="13"/>
      <c r="E191" s="10"/>
      <c r="F191" s="10"/>
      <c r="G191" s="10"/>
      <c r="H191" s="10"/>
      <c r="I191" s="10"/>
      <c r="J191" s="10"/>
      <c r="K191" s="10"/>
      <c r="L191" s="10"/>
      <c r="M191" s="1"/>
    </row>
    <row r="192" spans="1:13" s="3" customFormat="1">
      <c r="A192" s="1"/>
      <c r="B192" s="18"/>
      <c r="C192" s="22" t="s">
        <v>89</v>
      </c>
      <c r="D192" s="13"/>
      <c r="E192" s="10"/>
      <c r="F192" s="10"/>
      <c r="G192" s="37"/>
      <c r="H192" s="22" t="s">
        <v>19</v>
      </c>
      <c r="I192" s="37"/>
      <c r="J192" s="18" t="s">
        <v>20</v>
      </c>
      <c r="K192" s="293"/>
      <c r="L192" s="293"/>
      <c r="M192" s="1"/>
    </row>
    <row r="193" spans="1:13" s="3" customFormat="1" ht="3.75" customHeight="1">
      <c r="A193" s="1"/>
      <c r="B193" s="18"/>
      <c r="C193" s="22"/>
      <c r="D193" s="13"/>
      <c r="E193" s="10"/>
      <c r="F193" s="10"/>
      <c r="G193" s="10"/>
      <c r="H193" s="10"/>
      <c r="I193" s="10"/>
      <c r="J193" s="10"/>
      <c r="K193" s="10"/>
      <c r="L193" s="10"/>
      <c r="M193" s="1"/>
    </row>
    <row r="194" spans="1:13" s="3" customFormat="1" ht="13.5" customHeight="1">
      <c r="A194" s="1"/>
      <c r="B194" s="18"/>
      <c r="C194" s="22" t="s">
        <v>90</v>
      </c>
      <c r="D194" s="13"/>
      <c r="E194" s="10"/>
      <c r="F194" s="10"/>
      <c r="G194" s="37"/>
      <c r="H194" s="22" t="s">
        <v>19</v>
      </c>
      <c r="I194" s="37"/>
      <c r="J194" s="18" t="s">
        <v>20</v>
      </c>
      <c r="K194" s="293"/>
      <c r="L194" s="293"/>
      <c r="M194" s="1"/>
    </row>
    <row r="195" spans="1:13" s="3" customFormat="1" ht="7.5" customHeight="1">
      <c r="A195" s="1"/>
      <c r="B195" s="18"/>
      <c r="C195" s="16"/>
      <c r="D195" s="13"/>
      <c r="E195" s="10"/>
      <c r="F195" s="10"/>
      <c r="G195" s="10"/>
      <c r="H195" s="10"/>
      <c r="I195" s="10"/>
      <c r="J195" s="10"/>
      <c r="K195" s="10"/>
      <c r="L195" s="10"/>
      <c r="M195" s="1"/>
    </row>
    <row r="196" spans="1:13" s="3" customFormat="1">
      <c r="A196" s="1"/>
      <c r="B196" s="18" t="s">
        <v>91</v>
      </c>
      <c r="C196" s="16"/>
      <c r="D196" s="13"/>
      <c r="E196" s="10"/>
      <c r="F196" s="10"/>
      <c r="G196" s="37"/>
      <c r="H196" s="22" t="s">
        <v>19</v>
      </c>
      <c r="I196" s="37"/>
      <c r="J196" s="18" t="s">
        <v>20</v>
      </c>
      <c r="K196" s="293"/>
      <c r="L196" s="293"/>
      <c r="M196" s="1"/>
    </row>
    <row r="197" spans="1:13" s="3" customFormat="1" ht="5.25" customHeight="1">
      <c r="A197" s="1"/>
      <c r="B197" s="18"/>
      <c r="C197" s="16"/>
      <c r="D197" s="13"/>
      <c r="E197" s="10"/>
      <c r="F197" s="10"/>
      <c r="G197" s="22"/>
      <c r="H197" s="22"/>
      <c r="I197" s="22"/>
      <c r="J197" s="18"/>
      <c r="K197" s="25"/>
      <c r="L197" s="25"/>
      <c r="M197" s="1"/>
    </row>
    <row r="198" spans="1:13" s="3" customFormat="1">
      <c r="A198" s="1"/>
      <c r="B198" s="18" t="s">
        <v>92</v>
      </c>
      <c r="C198" s="16"/>
      <c r="D198" s="13"/>
      <c r="E198" s="10"/>
      <c r="F198" s="10"/>
      <c r="G198" s="37"/>
      <c r="H198" s="22" t="s">
        <v>19</v>
      </c>
      <c r="I198" s="37"/>
      <c r="J198" s="18" t="s">
        <v>20</v>
      </c>
      <c r="K198" s="293"/>
      <c r="L198" s="293"/>
      <c r="M198" s="1"/>
    </row>
    <row r="199" spans="1:13" s="3" customFormat="1" ht="6.75" customHeight="1">
      <c r="A199" s="1"/>
      <c r="B199" s="18"/>
      <c r="C199" s="16"/>
      <c r="D199" s="13"/>
      <c r="E199" s="10"/>
      <c r="F199" s="10"/>
      <c r="G199" s="22"/>
      <c r="H199" s="22"/>
      <c r="I199" s="22"/>
      <c r="J199" s="18"/>
      <c r="K199" s="25"/>
      <c r="L199" s="25"/>
      <c r="M199" s="1"/>
    </row>
    <row r="200" spans="1:13" s="3" customFormat="1">
      <c r="A200" s="1"/>
      <c r="B200" s="18" t="s">
        <v>93</v>
      </c>
      <c r="C200" s="16"/>
      <c r="D200" s="13"/>
      <c r="E200" s="10"/>
      <c r="F200" s="10"/>
      <c r="G200" s="37"/>
      <c r="H200" s="22" t="s">
        <v>19</v>
      </c>
      <c r="I200" s="37"/>
      <c r="J200" s="18" t="s">
        <v>20</v>
      </c>
      <c r="K200" s="293"/>
      <c r="L200" s="293"/>
      <c r="M200" s="1"/>
    </row>
    <row r="201" spans="1:13" s="3" customFormat="1" ht="8.25" customHeight="1">
      <c r="A201" s="1"/>
      <c r="B201" s="18"/>
      <c r="C201" s="16"/>
      <c r="D201" s="13"/>
      <c r="E201" s="10"/>
      <c r="F201" s="10"/>
      <c r="G201" s="22"/>
      <c r="H201" s="22"/>
      <c r="I201" s="22"/>
      <c r="J201" s="18"/>
      <c r="K201" s="25"/>
      <c r="L201" s="25"/>
      <c r="M201" s="1"/>
    </row>
    <row r="202" spans="1:13" s="3" customFormat="1">
      <c r="A202" s="1"/>
      <c r="B202" s="18" t="s">
        <v>94</v>
      </c>
      <c r="C202" s="16"/>
      <c r="D202" s="13"/>
      <c r="E202" s="10"/>
      <c r="F202" s="10"/>
      <c r="G202" s="37"/>
      <c r="H202" s="22" t="s">
        <v>19</v>
      </c>
      <c r="I202" s="37"/>
      <c r="J202" s="18" t="s">
        <v>20</v>
      </c>
      <c r="K202" s="293"/>
      <c r="L202" s="293"/>
      <c r="M202" s="1"/>
    </row>
    <row r="203" spans="1:13" s="3" customFormat="1" ht="6" customHeight="1">
      <c r="A203" s="1"/>
      <c r="B203" s="12"/>
      <c r="C203" s="16"/>
      <c r="D203" s="13"/>
      <c r="E203" s="10"/>
      <c r="F203" s="10"/>
      <c r="G203" s="10"/>
      <c r="H203" s="10"/>
      <c r="I203" s="10"/>
      <c r="J203" s="10"/>
      <c r="K203" s="10"/>
      <c r="L203" s="10"/>
      <c r="M203" s="1"/>
    </row>
    <row r="204" spans="1:13" s="3" customFormat="1">
      <c r="A204" s="1"/>
      <c r="B204" s="18" t="s">
        <v>102</v>
      </c>
      <c r="C204" s="22"/>
      <c r="D204" s="45"/>
      <c r="E204" s="18"/>
      <c r="F204" s="18"/>
      <c r="G204" s="37"/>
      <c r="H204" s="22" t="s">
        <v>19</v>
      </c>
      <c r="I204" s="37"/>
      <c r="J204" s="18" t="s">
        <v>20</v>
      </c>
      <c r="K204" s="293"/>
      <c r="L204" s="293"/>
      <c r="M204" s="1"/>
    </row>
    <row r="205" spans="1:13" s="3" customFormat="1" ht="4.5" customHeight="1">
      <c r="A205" s="1"/>
      <c r="B205" s="18"/>
      <c r="C205" s="22"/>
      <c r="D205" s="18"/>
      <c r="E205" s="18"/>
      <c r="F205" s="18"/>
      <c r="G205" s="18"/>
      <c r="H205" s="18"/>
      <c r="I205" s="10"/>
      <c r="J205" s="10"/>
      <c r="K205" s="10"/>
      <c r="L205" s="10"/>
      <c r="M205" s="1"/>
    </row>
    <row r="206" spans="1:13" s="3" customFormat="1">
      <c r="A206" s="1"/>
      <c r="B206" s="18" t="s">
        <v>95</v>
      </c>
      <c r="C206" s="22"/>
      <c r="D206" s="18"/>
      <c r="E206" s="18"/>
      <c r="F206" s="18"/>
      <c r="G206" s="37"/>
      <c r="H206" s="22" t="s">
        <v>19</v>
      </c>
      <c r="I206" s="37"/>
      <c r="J206" s="18" t="s">
        <v>20</v>
      </c>
      <c r="K206" s="293"/>
      <c r="L206" s="293"/>
      <c r="M206" s="1"/>
    </row>
    <row r="207" spans="1:13" s="3" customFormat="1" ht="6" customHeight="1">
      <c r="A207" s="1"/>
      <c r="B207" s="18"/>
      <c r="C207" s="22"/>
      <c r="D207" s="18"/>
      <c r="E207" s="18"/>
      <c r="F207" s="18"/>
      <c r="G207" s="18"/>
      <c r="H207" s="18"/>
      <c r="I207" s="10"/>
      <c r="J207" s="10"/>
      <c r="K207" s="10"/>
      <c r="L207" s="10"/>
      <c r="M207" s="1"/>
    </row>
    <row r="208" spans="1:13" s="3" customFormat="1">
      <c r="A208" s="1"/>
      <c r="B208" s="18" t="s">
        <v>96</v>
      </c>
      <c r="C208" s="22"/>
      <c r="D208" s="18"/>
      <c r="E208" s="18"/>
      <c r="F208" s="18"/>
      <c r="G208" s="37"/>
      <c r="H208" s="22" t="s">
        <v>19</v>
      </c>
      <c r="I208" s="37"/>
      <c r="J208" s="18" t="s">
        <v>20</v>
      </c>
      <c r="K208" s="293"/>
      <c r="L208" s="293"/>
      <c r="M208" s="1"/>
    </row>
    <row r="209" spans="1:13" s="3" customFormat="1" ht="5.25" customHeight="1">
      <c r="A209" s="1"/>
      <c r="B209" s="18"/>
      <c r="C209" s="22"/>
      <c r="D209" s="18"/>
      <c r="E209" s="18"/>
      <c r="F209" s="18"/>
      <c r="G209" s="18"/>
      <c r="H209" s="18"/>
      <c r="I209" s="10"/>
      <c r="J209" s="10"/>
      <c r="K209" s="10"/>
      <c r="L209" s="10"/>
      <c r="M209" s="1"/>
    </row>
    <row r="210" spans="1:13" s="3" customFormat="1">
      <c r="A210" s="1"/>
      <c r="B210" s="18" t="s">
        <v>97</v>
      </c>
      <c r="C210" s="22"/>
      <c r="D210" s="18"/>
      <c r="E210" s="40"/>
      <c r="F210" s="18" t="s">
        <v>98</v>
      </c>
      <c r="G210" s="18"/>
      <c r="H210" s="18"/>
      <c r="I210" s="10"/>
      <c r="J210" s="10"/>
      <c r="K210" s="10"/>
      <c r="L210" s="10"/>
      <c r="M210" s="1"/>
    </row>
    <row r="211" spans="1:13" s="3" customFormat="1" ht="5.25" customHeight="1">
      <c r="A211" s="1"/>
      <c r="B211" s="18"/>
      <c r="C211" s="22"/>
      <c r="D211" s="18"/>
      <c r="E211" s="18"/>
      <c r="F211" s="18"/>
      <c r="G211" s="18"/>
      <c r="H211" s="18"/>
      <c r="I211" s="10"/>
      <c r="J211" s="10"/>
      <c r="K211" s="10"/>
      <c r="L211" s="10"/>
      <c r="M211" s="1"/>
    </row>
    <row r="212" spans="1:13" s="3" customFormat="1">
      <c r="A212" s="1"/>
      <c r="B212" s="18" t="s">
        <v>222</v>
      </c>
      <c r="C212" s="22"/>
      <c r="D212" s="18"/>
      <c r="E212" s="40"/>
      <c r="F212" s="18" t="s">
        <v>99</v>
      </c>
      <c r="G212" s="18"/>
      <c r="H212" s="18"/>
      <c r="I212" s="10"/>
      <c r="J212" s="10"/>
      <c r="K212" s="10"/>
      <c r="L212" s="10"/>
      <c r="M212" s="1"/>
    </row>
    <row r="213" spans="1:13" s="3" customFormat="1">
      <c r="A213" s="1"/>
      <c r="B213" s="18" t="s">
        <v>105</v>
      </c>
      <c r="C213" s="22"/>
      <c r="D213" s="18"/>
      <c r="E213" s="43"/>
      <c r="F213" s="18"/>
      <c r="G213" s="37"/>
      <c r="H213" s="22" t="s">
        <v>19</v>
      </c>
      <c r="I213" s="37"/>
      <c r="J213" s="18" t="s">
        <v>20</v>
      </c>
      <c r="K213" s="293"/>
      <c r="L213" s="293"/>
      <c r="M213" s="1"/>
    </row>
    <row r="214" spans="1:13" s="3" customFormat="1">
      <c r="A214" s="1"/>
      <c r="B214" s="18"/>
      <c r="C214" s="22"/>
      <c r="D214" s="18"/>
      <c r="E214" s="43"/>
      <c r="F214" s="18"/>
      <c r="G214" s="18"/>
      <c r="H214" s="18"/>
      <c r="I214" s="10"/>
      <c r="J214" s="10"/>
      <c r="K214" s="10"/>
      <c r="L214" s="10"/>
      <c r="M214" s="1"/>
    </row>
    <row r="215" spans="1:13" s="3" customFormat="1">
      <c r="A215" s="1"/>
      <c r="B215" s="18"/>
      <c r="C215" s="22"/>
      <c r="D215" s="18"/>
      <c r="E215" s="43"/>
      <c r="F215" s="18"/>
      <c r="G215" s="18"/>
      <c r="H215" s="18"/>
      <c r="I215" s="10"/>
      <c r="J215" s="10"/>
      <c r="K215" s="10"/>
      <c r="L215" s="10"/>
      <c r="M215" s="1"/>
    </row>
    <row r="216" spans="1:13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"/>
    </row>
    <row r="217" spans="1:13">
      <c r="A217" s="152" t="s">
        <v>100</v>
      </c>
      <c r="B217" s="149"/>
      <c r="C217" s="149"/>
      <c r="D217" s="149"/>
      <c r="E217" s="149"/>
      <c r="F217" s="149"/>
      <c r="G217" s="149"/>
      <c r="H217" s="149"/>
      <c r="I217" s="149"/>
      <c r="J217" s="149"/>
      <c r="K217" s="149"/>
      <c r="L217" s="149"/>
      <c r="M217" s="149"/>
    </row>
    <row r="218" spans="1:13" ht="13.5" customHeight="1">
      <c r="B218" s="1"/>
      <c r="C218" s="1"/>
      <c r="D218" s="1"/>
      <c r="E218" s="1"/>
      <c r="F218" s="1"/>
      <c r="G218" s="187" t="s">
        <v>221</v>
      </c>
      <c r="H218" s="1"/>
      <c r="I218" s="1"/>
      <c r="J218" s="1"/>
      <c r="K218" s="1"/>
      <c r="L218" s="1"/>
      <c r="M218" s="1"/>
    </row>
    <row r="219" spans="1:13">
      <c r="B219" s="18" t="s">
        <v>79</v>
      </c>
      <c r="C219" s="16"/>
      <c r="D219" s="294"/>
      <c r="E219" s="294"/>
      <c r="F219" s="294"/>
      <c r="G219" s="294"/>
      <c r="H219" s="294"/>
      <c r="I219" s="294"/>
      <c r="J219" s="294"/>
      <c r="K219" s="295"/>
      <c r="L219" s="296"/>
      <c r="M219" s="1"/>
    </row>
    <row r="220" spans="1:13" ht="8.25" customHeight="1">
      <c r="B220" s="18"/>
      <c r="C220" s="16"/>
      <c r="D220" s="13"/>
      <c r="E220" s="20"/>
      <c r="F220" s="18"/>
      <c r="G220" s="10"/>
      <c r="H220" s="10"/>
      <c r="I220" s="10"/>
      <c r="J220" s="10"/>
      <c r="K220" s="10"/>
      <c r="L220" s="10"/>
      <c r="M220" s="1"/>
    </row>
    <row r="221" spans="1:13">
      <c r="B221" s="18" t="s">
        <v>80</v>
      </c>
      <c r="C221" s="16"/>
      <c r="D221" s="13"/>
      <c r="E221" s="40"/>
      <c r="F221" s="43"/>
      <c r="G221" s="23"/>
      <c r="H221" s="23"/>
      <c r="I221" s="10"/>
      <c r="J221" s="10"/>
      <c r="K221" s="295" t="s">
        <v>50</v>
      </c>
      <c r="L221" s="296"/>
      <c r="M221" s="1"/>
    </row>
    <row r="222" spans="1:13" ht="6" customHeight="1">
      <c r="B222" s="18"/>
      <c r="C222" s="16"/>
      <c r="D222" s="13"/>
      <c r="E222" s="20"/>
      <c r="F222" s="18"/>
      <c r="G222" s="10"/>
      <c r="H222" s="10"/>
      <c r="I222" s="10"/>
      <c r="J222" s="10"/>
      <c r="K222" s="10"/>
      <c r="L222" s="10"/>
      <c r="M222" s="1"/>
    </row>
    <row r="223" spans="1:13">
      <c r="B223" s="18" t="s">
        <v>81</v>
      </c>
      <c r="C223" s="16"/>
      <c r="D223" s="13"/>
      <c r="E223" s="20"/>
      <c r="F223" s="18"/>
      <c r="G223" s="37"/>
      <c r="H223" s="22" t="s">
        <v>19</v>
      </c>
      <c r="I223" s="37"/>
      <c r="J223" s="18" t="s">
        <v>20</v>
      </c>
      <c r="K223" s="293"/>
      <c r="L223" s="293"/>
      <c r="M223" s="1"/>
    </row>
    <row r="224" spans="1:13">
      <c r="B224" s="42" t="s">
        <v>82</v>
      </c>
      <c r="C224" s="16"/>
      <c r="D224" s="13"/>
      <c r="E224" s="20"/>
      <c r="F224" s="18"/>
      <c r="G224" s="10"/>
      <c r="H224" s="10"/>
      <c r="I224" s="10"/>
      <c r="J224" s="10"/>
      <c r="K224" s="10"/>
      <c r="L224" s="10"/>
      <c r="M224" s="1"/>
    </row>
    <row r="225" spans="1:13" s="3" customFormat="1" ht="4.5" customHeight="1">
      <c r="A225" s="1"/>
      <c r="B225" s="42"/>
      <c r="C225" s="16"/>
      <c r="D225" s="13"/>
      <c r="E225" s="20"/>
      <c r="F225" s="18"/>
      <c r="G225" s="10"/>
      <c r="H225" s="10"/>
      <c r="I225" s="10"/>
      <c r="J225" s="10"/>
      <c r="K225" s="10"/>
      <c r="L225" s="10"/>
      <c r="M225" s="1"/>
    </row>
    <row r="226" spans="1:13" s="3" customFormat="1">
      <c r="A226" s="1"/>
      <c r="B226" s="18" t="s">
        <v>91</v>
      </c>
      <c r="C226" s="16"/>
      <c r="D226" s="13"/>
      <c r="E226" s="10"/>
      <c r="F226" s="10"/>
      <c r="G226" s="37"/>
      <c r="H226" s="22" t="s">
        <v>19</v>
      </c>
      <c r="I226" s="37"/>
      <c r="J226" s="18" t="s">
        <v>20</v>
      </c>
      <c r="K226" s="293"/>
      <c r="L226" s="293"/>
      <c r="M226" s="1"/>
    </row>
    <row r="227" spans="1:13" s="3" customFormat="1" ht="6" customHeight="1">
      <c r="A227" s="1"/>
      <c r="B227" s="42"/>
      <c r="C227" s="16"/>
      <c r="D227" s="13"/>
      <c r="E227" s="20"/>
      <c r="F227" s="18"/>
      <c r="G227" s="10"/>
      <c r="H227" s="10"/>
      <c r="I227" s="10"/>
      <c r="J227" s="10"/>
      <c r="K227" s="10"/>
      <c r="L227" s="10"/>
      <c r="M227" s="1"/>
    </row>
    <row r="228" spans="1:13">
      <c r="B228" s="18" t="s">
        <v>101</v>
      </c>
      <c r="C228" s="1"/>
      <c r="D228" s="1"/>
      <c r="E228" s="1"/>
      <c r="F228" s="1"/>
      <c r="G228" s="37"/>
      <c r="H228" s="22" t="s">
        <v>19</v>
      </c>
      <c r="I228" s="37"/>
      <c r="J228" s="18" t="s">
        <v>20</v>
      </c>
      <c r="K228" s="293"/>
      <c r="L228" s="293"/>
      <c r="M228" s="1"/>
    </row>
    <row r="229" spans="1:13" s="3" customFormat="1" ht="6.75" customHeight="1">
      <c r="A229" s="1"/>
      <c r="B229" s="18"/>
      <c r="C229" s="1"/>
      <c r="D229" s="1"/>
      <c r="E229" s="1"/>
      <c r="F229" s="1"/>
      <c r="G229" s="22"/>
      <c r="H229" s="22"/>
      <c r="I229" s="22"/>
      <c r="J229" s="22"/>
      <c r="K229" s="25"/>
      <c r="L229" s="25"/>
      <c r="M229" s="1"/>
    </row>
    <row r="230" spans="1:13">
      <c r="B230" s="18" t="s">
        <v>106</v>
      </c>
      <c r="C230" s="1"/>
      <c r="D230" s="1"/>
      <c r="E230" s="1"/>
      <c r="F230" s="1"/>
      <c r="G230" s="37"/>
      <c r="H230" s="22" t="s">
        <v>19</v>
      </c>
      <c r="I230" s="37"/>
      <c r="J230" s="18" t="s">
        <v>20</v>
      </c>
      <c r="K230" s="293"/>
      <c r="L230" s="293"/>
      <c r="M230" s="1"/>
    </row>
    <row r="231" spans="1:13" s="3" customFormat="1" ht="6.75" customHeight="1">
      <c r="A231" s="1"/>
      <c r="B231" s="18"/>
      <c r="C231" s="1"/>
      <c r="D231" s="1"/>
      <c r="E231" s="1"/>
      <c r="F231" s="1"/>
      <c r="G231" s="22"/>
      <c r="H231" s="22"/>
      <c r="I231" s="22"/>
      <c r="J231" s="18"/>
      <c r="K231" s="25"/>
      <c r="L231" s="25"/>
      <c r="M231" s="1"/>
    </row>
    <row r="232" spans="1:13" s="1" customFormat="1" ht="13.5" customHeight="1">
      <c r="B232" s="18" t="s">
        <v>107</v>
      </c>
      <c r="G232" s="37"/>
      <c r="H232" s="22" t="s">
        <v>108</v>
      </c>
      <c r="I232" s="37"/>
      <c r="J232" s="18" t="s">
        <v>109</v>
      </c>
    </row>
    <row r="233" spans="1:13" ht="7.5" customHeight="1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>
      <c r="B234" s="18" t="s">
        <v>102</v>
      </c>
      <c r="C234" s="22"/>
      <c r="D234" s="45"/>
      <c r="E234" s="18"/>
      <c r="F234" s="18"/>
      <c r="G234" s="37"/>
      <c r="H234" s="22" t="s">
        <v>19</v>
      </c>
      <c r="I234" s="37"/>
      <c r="J234" s="18" t="s">
        <v>20</v>
      </c>
      <c r="K234" s="293"/>
      <c r="L234" s="293"/>
      <c r="M234" s="1"/>
    </row>
    <row r="235" spans="1:13" ht="9" customHeight="1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s="1" customFormat="1" ht="13.5" customHeight="1"/>
    <row r="237" spans="1:13">
      <c r="B237" s="18" t="s">
        <v>105</v>
      </c>
      <c r="C237" s="22"/>
      <c r="D237" s="18"/>
      <c r="E237" s="43"/>
      <c r="F237" s="18"/>
      <c r="G237" s="37"/>
      <c r="H237" s="22" t="s">
        <v>19</v>
      </c>
      <c r="I237" s="37"/>
      <c r="J237" s="18" t="s">
        <v>20</v>
      </c>
      <c r="K237" s="293"/>
      <c r="L237" s="293"/>
      <c r="M237" s="1"/>
    </row>
    <row r="238" spans="1:13" s="3" customFormat="1">
      <c r="A238" s="1"/>
      <c r="B238" s="18"/>
      <c r="C238" s="22"/>
      <c r="D238" s="18"/>
      <c r="E238" s="43"/>
      <c r="F238" s="18"/>
      <c r="G238" s="22"/>
      <c r="H238" s="22"/>
      <c r="I238" s="22"/>
      <c r="J238" s="18"/>
      <c r="K238" s="25"/>
      <c r="L238" s="25"/>
      <c r="M238" s="1"/>
    </row>
    <row r="239" spans="1:13" s="3" customFormat="1">
      <c r="A239" s="1"/>
      <c r="B239" s="18"/>
      <c r="C239" s="22"/>
      <c r="D239" s="18"/>
      <c r="E239" s="43"/>
      <c r="F239" s="18"/>
      <c r="G239" s="22"/>
      <c r="H239" s="22"/>
      <c r="I239" s="22"/>
      <c r="J239" s="18"/>
      <c r="K239" s="25"/>
      <c r="L239" s="25"/>
      <c r="M239" s="1"/>
    </row>
    <row r="240" spans="1:13" s="3" customFormat="1">
      <c r="A240" s="1"/>
      <c r="B240" s="18"/>
      <c r="C240" s="22"/>
      <c r="D240" s="18"/>
      <c r="E240" s="43"/>
      <c r="F240" s="18"/>
      <c r="G240" s="22"/>
      <c r="H240" s="22"/>
      <c r="I240" s="22"/>
      <c r="J240" s="18"/>
      <c r="K240" s="25"/>
      <c r="L240" s="25"/>
      <c r="M240" s="1"/>
    </row>
    <row r="241" spans="1:13" s="3" customFormat="1">
      <c r="A241" s="1"/>
      <c r="B241" s="18"/>
      <c r="C241" s="22"/>
      <c r="D241" s="18"/>
      <c r="E241" s="43"/>
      <c r="F241" s="18"/>
      <c r="G241" s="22"/>
      <c r="H241" s="22"/>
      <c r="I241" s="22"/>
      <c r="J241" s="18"/>
      <c r="K241" s="25"/>
      <c r="L241" s="25"/>
      <c r="M241" s="1"/>
    </row>
    <row r="242" spans="1:13" s="3" customFormat="1">
      <c r="A242" s="1"/>
      <c r="B242" s="18"/>
      <c r="C242" s="22"/>
      <c r="D242" s="18"/>
      <c r="E242" s="43"/>
      <c r="F242" s="18"/>
      <c r="G242" s="22"/>
      <c r="H242" s="22"/>
      <c r="I242" s="22"/>
      <c r="J242" s="18"/>
      <c r="K242" s="25"/>
      <c r="L242" s="25"/>
      <c r="M242" s="1"/>
    </row>
    <row r="243" spans="1:13" ht="21">
      <c r="B243" s="47"/>
    </row>
  </sheetData>
  <mergeCells count="120">
    <mergeCell ref="C55:D55"/>
    <mergeCell ref="B1:L1"/>
    <mergeCell ref="E8:I8"/>
    <mergeCell ref="E9:I9"/>
    <mergeCell ref="B2:L2"/>
    <mergeCell ref="B4:L4"/>
    <mergeCell ref="D47:L47"/>
    <mergeCell ref="D46:L46"/>
    <mergeCell ref="D48:L48"/>
    <mergeCell ref="F55:G55"/>
    <mergeCell ref="H55:I55"/>
    <mergeCell ref="K32:L32"/>
    <mergeCell ref="K34:L34"/>
    <mergeCell ref="K36:L36"/>
    <mergeCell ref="H56:I56"/>
    <mergeCell ref="H57:I57"/>
    <mergeCell ref="H60:I60"/>
    <mergeCell ref="H61:I61"/>
    <mergeCell ref="C58:D58"/>
    <mergeCell ref="F58:G58"/>
    <mergeCell ref="H58:I58"/>
    <mergeCell ref="C59:D59"/>
    <mergeCell ref="F59:G59"/>
    <mergeCell ref="H59:I59"/>
    <mergeCell ref="C56:D56"/>
    <mergeCell ref="C57:D57"/>
    <mergeCell ref="C60:D60"/>
    <mergeCell ref="C61:D61"/>
    <mergeCell ref="F56:G56"/>
    <mergeCell ref="F57:G57"/>
    <mergeCell ref="F60:G60"/>
    <mergeCell ref="F61:G61"/>
    <mergeCell ref="C70:D70"/>
    <mergeCell ref="C71:D71"/>
    <mergeCell ref="F65:G65"/>
    <mergeCell ref="H65:I65"/>
    <mergeCell ref="F66:G66"/>
    <mergeCell ref="H66:I66"/>
    <mergeCell ref="F67:G67"/>
    <mergeCell ref="H67:I67"/>
    <mergeCell ref="F68:G68"/>
    <mergeCell ref="H68:I68"/>
    <mergeCell ref="F69:G69"/>
    <mergeCell ref="H69:I69"/>
    <mergeCell ref="F70:G70"/>
    <mergeCell ref="H70:I70"/>
    <mergeCell ref="F71:G71"/>
    <mergeCell ref="H71:I71"/>
    <mergeCell ref="C65:D65"/>
    <mergeCell ref="C66:D66"/>
    <mergeCell ref="C67:D67"/>
    <mergeCell ref="C68:D68"/>
    <mergeCell ref="C69:D69"/>
    <mergeCell ref="K74:L74"/>
    <mergeCell ref="K76:L76"/>
    <mergeCell ref="K78:L78"/>
    <mergeCell ref="K80:L80"/>
    <mergeCell ref="K73:L73"/>
    <mergeCell ref="K44:L44"/>
    <mergeCell ref="K38:L38"/>
    <mergeCell ref="K40:L40"/>
    <mergeCell ref="K42:L42"/>
    <mergeCell ref="K100:L100"/>
    <mergeCell ref="K102:L102"/>
    <mergeCell ref="K104:L104"/>
    <mergeCell ref="G90:H90"/>
    <mergeCell ref="G94:H94"/>
    <mergeCell ref="K84:L84"/>
    <mergeCell ref="K86:L86"/>
    <mergeCell ref="K95:L95"/>
    <mergeCell ref="K96:L96"/>
    <mergeCell ref="K98:L98"/>
    <mergeCell ref="K129:L129"/>
    <mergeCell ref="G130:H130"/>
    <mergeCell ref="K136:L136"/>
    <mergeCell ref="K106:L106"/>
    <mergeCell ref="K138:L138"/>
    <mergeCell ref="G124:I124"/>
    <mergeCell ref="K108:L108"/>
    <mergeCell ref="K114:L114"/>
    <mergeCell ref="K120:L120"/>
    <mergeCell ref="K118:L118"/>
    <mergeCell ref="G116:I116"/>
    <mergeCell ref="D180:J180"/>
    <mergeCell ref="K156:L156"/>
    <mergeCell ref="G134:H134"/>
    <mergeCell ref="K135:L135"/>
    <mergeCell ref="K206:L206"/>
    <mergeCell ref="K192:L192"/>
    <mergeCell ref="K194:L194"/>
    <mergeCell ref="K182:L182"/>
    <mergeCell ref="K180:L180"/>
    <mergeCell ref="K196:L196"/>
    <mergeCell ref="K184:L184"/>
    <mergeCell ref="K188:L188"/>
    <mergeCell ref="K190:L190"/>
    <mergeCell ref="D126:F127"/>
    <mergeCell ref="G169:H169"/>
    <mergeCell ref="K237:L237"/>
    <mergeCell ref="K226:L226"/>
    <mergeCell ref="K110:L110"/>
    <mergeCell ref="K158:L158"/>
    <mergeCell ref="K167:L167"/>
    <mergeCell ref="K122:L122"/>
    <mergeCell ref="K126:L126"/>
    <mergeCell ref="K228:L228"/>
    <mergeCell ref="K234:L234"/>
    <mergeCell ref="K230:L230"/>
    <mergeCell ref="K213:L213"/>
    <mergeCell ref="K208:L208"/>
    <mergeCell ref="D219:J219"/>
    <mergeCell ref="K219:L219"/>
    <mergeCell ref="K221:L221"/>
    <mergeCell ref="K223:L223"/>
    <mergeCell ref="K198:L198"/>
    <mergeCell ref="K200:L200"/>
    <mergeCell ref="K202:L202"/>
    <mergeCell ref="K204:L204"/>
    <mergeCell ref="G162:H162"/>
    <mergeCell ref="G164:H164"/>
  </mergeCells>
  <pageMargins left="0.25" right="0.25" top="1.59375" bottom="0.75" header="0.3" footer="0.3"/>
  <pageSetup scale="60" fitToHeight="0" orientation="portrait" r:id="rId1"/>
  <headerFooter>
    <oddHeader>&amp;C&amp;G&amp;R&amp;"Arial,Negrita Cursiva"REFRIGERACIÓN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2"/>
  <sheetViews>
    <sheetView tabSelected="1" topLeftCell="A112" zoomScale="90" zoomScaleNormal="90" workbookViewId="0">
      <selection activeCell="F116" sqref="F116"/>
    </sheetView>
  </sheetViews>
  <sheetFormatPr baseColWidth="10" defaultRowHeight="15"/>
  <cols>
    <col min="1" max="1" width="4.28515625" customWidth="1"/>
    <col min="2" max="2" width="15.140625" customWidth="1"/>
    <col min="5" max="5" width="17.85546875" customWidth="1"/>
    <col min="6" max="6" width="16.140625" customWidth="1"/>
    <col min="7" max="7" width="14.28515625" customWidth="1"/>
    <col min="8" max="8" width="17" style="3" customWidth="1"/>
  </cols>
  <sheetData>
    <row r="1" spans="1:9">
      <c r="A1" s="18"/>
      <c r="B1" s="18"/>
      <c r="C1" s="18"/>
      <c r="D1" s="18"/>
      <c r="E1" s="18"/>
      <c r="F1" s="18"/>
      <c r="G1" s="18"/>
      <c r="H1" s="18"/>
    </row>
    <row r="2" spans="1:9" ht="43.5" customHeight="1">
      <c r="A2" s="18"/>
      <c r="B2" s="315" t="s">
        <v>197</v>
      </c>
      <c r="C2" s="315"/>
      <c r="D2" s="315"/>
      <c r="E2" s="315"/>
      <c r="F2" s="315"/>
      <c r="G2" s="315"/>
      <c r="H2" s="315"/>
      <c r="I2" s="158"/>
    </row>
    <row r="3" spans="1:9" s="3" customFormat="1" ht="18">
      <c r="A3" s="18"/>
      <c r="B3" s="156"/>
      <c r="C3" s="157"/>
      <c r="D3" s="157"/>
      <c r="E3" s="157"/>
      <c r="F3" s="157"/>
      <c r="G3" s="157"/>
      <c r="H3" s="157"/>
      <c r="I3" s="157"/>
    </row>
    <row r="4" spans="1:9" s="3" customFormat="1" ht="18">
      <c r="A4" s="316" t="s">
        <v>207</v>
      </c>
      <c r="B4" s="316"/>
      <c r="C4" s="316"/>
      <c r="D4" s="316"/>
      <c r="E4" s="316"/>
      <c r="F4" s="316"/>
      <c r="G4" s="316"/>
      <c r="H4" s="316"/>
      <c r="I4" s="157"/>
    </row>
    <row r="5" spans="1:9" s="3" customFormat="1" ht="18">
      <c r="A5" s="18"/>
      <c r="B5" s="18" t="s">
        <v>215</v>
      </c>
      <c r="C5" s="18"/>
      <c r="D5" s="18"/>
      <c r="E5" s="18"/>
      <c r="F5" s="18"/>
      <c r="G5" s="18"/>
      <c r="H5" s="18"/>
      <c r="I5" s="157"/>
    </row>
    <row r="6" spans="1:9" s="3" customFormat="1" ht="18">
      <c r="A6" s="18"/>
      <c r="B6" s="18"/>
      <c r="C6" s="193" t="str">
        <f>IF('1. Datos de entrada'!I200="","","Recomendar cambiar los sellos de las puertas")</f>
        <v/>
      </c>
      <c r="D6" s="18"/>
      <c r="E6" s="18"/>
      <c r="F6" s="18"/>
      <c r="G6" s="18"/>
      <c r="H6" s="18"/>
      <c r="I6" s="157"/>
    </row>
    <row r="7" spans="1:9" s="3" customFormat="1" ht="18">
      <c r="A7" s="18"/>
      <c r="B7" s="18"/>
      <c r="C7" s="193" t="str">
        <f>IF('1. Datos de entrada'!I202="","","Recomendar instalar cortinas hawaianas")</f>
        <v/>
      </c>
      <c r="D7" s="18"/>
      <c r="E7" s="18"/>
      <c r="F7" s="18"/>
      <c r="G7" s="18"/>
      <c r="H7" s="18"/>
      <c r="I7" s="157"/>
    </row>
    <row r="8" spans="1:9" s="3" customFormat="1" ht="18" customHeight="1">
      <c r="A8" s="18"/>
      <c r="B8" s="156"/>
      <c r="C8" s="193" t="str">
        <f>IF('1. Datos de entrada'!G198="","","Recomendar mejorar el aislamiento")</f>
        <v/>
      </c>
      <c r="D8" s="157"/>
      <c r="E8" s="157"/>
      <c r="F8" s="157"/>
      <c r="G8" s="157"/>
      <c r="H8" s="157"/>
      <c r="I8" s="157"/>
    </row>
    <row r="9" spans="1:9" s="3" customFormat="1" ht="18">
      <c r="A9" s="18"/>
      <c r="B9" s="320" t="s">
        <v>208</v>
      </c>
      <c r="C9" s="320"/>
      <c r="D9" s="320"/>
      <c r="E9" s="320"/>
      <c r="F9" s="320"/>
      <c r="G9" s="320"/>
      <c r="H9" s="320"/>
      <c r="I9" s="157"/>
    </row>
    <row r="10" spans="1:9" s="3" customFormat="1" ht="18.75" customHeight="1">
      <c r="A10" s="18"/>
      <c r="B10" s="321" t="s">
        <v>209</v>
      </c>
      <c r="C10" s="321"/>
      <c r="D10" s="321"/>
      <c r="E10" s="184" t="str">
        <f>'3. MAE mejora aislamiento'!G74</f>
        <v>-</v>
      </c>
      <c r="F10" s="111" t="s">
        <v>180</v>
      </c>
      <c r="G10" s="183"/>
      <c r="H10" s="183"/>
      <c r="I10" s="157"/>
    </row>
    <row r="11" spans="1:9" s="3" customFormat="1" ht="18.75" customHeight="1">
      <c r="A11" s="18"/>
      <c r="B11" s="196"/>
      <c r="C11" s="196"/>
      <c r="D11" s="196"/>
      <c r="E11" s="184"/>
      <c r="F11" s="111"/>
      <c r="G11" s="183"/>
      <c r="H11" s="183"/>
      <c r="I11" s="157"/>
    </row>
    <row r="12" spans="1:9" s="3" customFormat="1" ht="18">
      <c r="A12" s="18"/>
      <c r="B12" s="156"/>
      <c r="C12" s="157"/>
      <c r="D12" s="157"/>
      <c r="E12" s="157"/>
      <c r="F12" s="157"/>
      <c r="G12" s="157"/>
      <c r="H12" s="157"/>
      <c r="I12" s="157"/>
    </row>
    <row r="13" spans="1:9" s="3" customFormat="1" ht="18">
      <c r="A13" s="316" t="s">
        <v>210</v>
      </c>
      <c r="B13" s="316"/>
      <c r="C13" s="316"/>
      <c r="D13" s="316"/>
      <c r="E13" s="316"/>
      <c r="F13" s="316"/>
      <c r="G13" s="316"/>
      <c r="H13" s="316"/>
      <c r="I13" s="157"/>
    </row>
    <row r="14" spans="1:9" s="3" customFormat="1" ht="18">
      <c r="A14" s="18"/>
      <c r="B14" s="182"/>
      <c r="C14" s="18"/>
      <c r="D14" s="18"/>
      <c r="E14" s="18"/>
      <c r="F14" s="18"/>
      <c r="G14" s="18"/>
      <c r="H14" s="18"/>
      <c r="I14" s="157"/>
    </row>
    <row r="15" spans="1:9" s="3" customFormat="1" ht="18">
      <c r="A15" s="18"/>
      <c r="B15" s="186" t="s">
        <v>211</v>
      </c>
      <c r="C15" s="18"/>
      <c r="D15" s="18"/>
      <c r="E15" s="1"/>
      <c r="F15" s="18"/>
      <c r="G15" s="18"/>
      <c r="H15" s="18"/>
      <c r="I15" s="157"/>
    </row>
    <row r="16" spans="1:9" s="3" customFormat="1" ht="18">
      <c r="A16" s="18"/>
      <c r="B16" s="18" t="s">
        <v>215</v>
      </c>
      <c r="C16" s="18"/>
      <c r="D16" s="18"/>
      <c r="E16" s="1"/>
      <c r="F16" s="18"/>
      <c r="G16" s="18"/>
      <c r="H16" s="18"/>
      <c r="I16" s="157"/>
    </row>
    <row r="17" spans="1:9" s="3" customFormat="1" ht="18">
      <c r="A17" s="18"/>
      <c r="B17" s="1"/>
      <c r="C17" s="18" t="s">
        <v>195</v>
      </c>
      <c r="D17" s="18"/>
      <c r="E17" s="194" t="str">
        <f>IF('1. Datos de entrada'!I237="","","Existe oportunidad de mejora")</f>
        <v/>
      </c>
      <c r="F17" s="18"/>
      <c r="G17" s="18"/>
      <c r="H17" s="18"/>
      <c r="I17" s="157"/>
    </row>
    <row r="18" spans="1:9" s="3" customFormat="1" ht="18">
      <c r="A18" s="18"/>
      <c r="B18" s="1"/>
      <c r="C18" s="18" t="s">
        <v>223</v>
      </c>
      <c r="D18" s="18"/>
      <c r="E18" s="194" t="str">
        <f>IF('1. Datos de entrada'!I214="","","Existe oportunidad de mejora")</f>
        <v/>
      </c>
      <c r="F18" s="18"/>
      <c r="G18" s="18"/>
      <c r="H18" s="18"/>
      <c r="I18" s="157"/>
    </row>
    <row r="19" spans="1:9" s="3" customFormat="1" ht="18">
      <c r="A19" s="18"/>
      <c r="B19" s="198" t="s">
        <v>244</v>
      </c>
      <c r="C19" s="189"/>
      <c r="D19" s="190"/>
      <c r="E19" s="190"/>
      <c r="F19" s="191"/>
      <c r="G19" s="157"/>
      <c r="H19" s="157"/>
      <c r="I19" s="157"/>
    </row>
    <row r="20" spans="1:9" s="3" customFormat="1" ht="18">
      <c r="A20" s="18"/>
      <c r="B20" s="198"/>
      <c r="C20" s="189"/>
      <c r="D20" s="190"/>
      <c r="E20" s="190"/>
      <c r="F20" s="191"/>
      <c r="G20" s="157"/>
      <c r="H20" s="157"/>
      <c r="I20" s="157"/>
    </row>
    <row r="21" spans="1:9" s="3" customFormat="1" ht="18">
      <c r="A21" s="18"/>
      <c r="B21" s="199" t="s">
        <v>224</v>
      </c>
      <c r="C21" s="189"/>
      <c r="D21" s="190"/>
      <c r="E21" s="190"/>
      <c r="F21" s="191"/>
      <c r="G21" s="157"/>
      <c r="H21" s="157"/>
      <c r="I21" s="157"/>
    </row>
    <row r="22" spans="1:9" s="3" customFormat="1" ht="18">
      <c r="A22" s="18"/>
      <c r="B22" s="18" t="s">
        <v>215</v>
      </c>
      <c r="C22" s="18"/>
      <c r="D22" s="18"/>
      <c r="E22" s="190"/>
      <c r="F22" s="191"/>
      <c r="G22" s="157"/>
      <c r="H22" s="157"/>
      <c r="I22" s="157"/>
    </row>
    <row r="23" spans="1:9" s="3" customFormat="1" ht="18">
      <c r="A23" s="18"/>
      <c r="B23" s="1"/>
      <c r="C23" s="18" t="s">
        <v>195</v>
      </c>
      <c r="D23" s="18"/>
      <c r="E23" s="194" t="str">
        <f>IF('1. Datos de entrada'!I226="","","Reubicar el mueble")</f>
        <v/>
      </c>
      <c r="F23" s="191"/>
      <c r="G23" s="157"/>
      <c r="H23" s="157"/>
      <c r="I23" s="157"/>
    </row>
    <row r="24" spans="1:9" s="3" customFormat="1" ht="18">
      <c r="A24" s="18"/>
      <c r="B24" s="1"/>
      <c r="C24" s="18" t="s">
        <v>223</v>
      </c>
      <c r="D24" s="18"/>
      <c r="E24" s="194" t="str">
        <f>IF('1. Datos de entrada'!I196="","","Proteger la cámara de la radiación solar")</f>
        <v/>
      </c>
      <c r="F24" s="191"/>
      <c r="G24" s="157"/>
      <c r="H24" s="157"/>
      <c r="I24" s="157"/>
    </row>
    <row r="25" spans="1:9" s="3" customFormat="1" ht="18">
      <c r="A25" s="18"/>
      <c r="B25" s="189"/>
      <c r="C25" s="189"/>
      <c r="D25" s="190"/>
      <c r="E25" s="190"/>
      <c r="F25" s="191"/>
      <c r="G25" s="157"/>
      <c r="H25" s="157"/>
      <c r="I25" s="157"/>
    </row>
    <row r="26" spans="1:9" s="3" customFormat="1" ht="18">
      <c r="A26" s="18"/>
      <c r="B26" s="199" t="s">
        <v>229</v>
      </c>
      <c r="C26" s="189"/>
      <c r="D26" s="190"/>
      <c r="E26" s="190"/>
      <c r="F26" s="191"/>
      <c r="G26" s="157"/>
      <c r="H26" s="157"/>
      <c r="I26" s="157"/>
    </row>
    <row r="27" spans="1:9" s="3" customFormat="1" ht="18">
      <c r="A27" s="18"/>
      <c r="B27" s="18" t="s">
        <v>215</v>
      </c>
      <c r="C27" s="189"/>
      <c r="D27" s="190"/>
      <c r="E27" s="190"/>
      <c r="F27" s="191"/>
      <c r="G27" s="157"/>
      <c r="H27" s="157"/>
      <c r="I27" s="157"/>
    </row>
    <row r="28" spans="1:9" s="3" customFormat="1" ht="18">
      <c r="A28" s="18"/>
      <c r="B28" s="189" t="s">
        <v>225</v>
      </c>
      <c r="C28" s="193" t="str">
        <f>IF('1. Datos de entrada'!I184="","","Recomendar otra temperatura interior de acuerdo a Tutorial")</f>
        <v/>
      </c>
      <c r="D28" s="190"/>
      <c r="E28" s="190"/>
      <c r="F28" s="191"/>
      <c r="G28" s="157"/>
      <c r="H28" s="157"/>
      <c r="I28" s="157"/>
    </row>
    <row r="29" spans="1:9" s="3" customFormat="1" ht="18">
      <c r="A29" s="18"/>
      <c r="B29" s="189" t="s">
        <v>226</v>
      </c>
      <c r="C29" s="193" t="str">
        <f>IF('1. Datos de entrada'!G188="","","Recomendar disminuir el tamaño de la cámara")</f>
        <v/>
      </c>
      <c r="D29" s="190"/>
      <c r="E29" s="190"/>
      <c r="F29" s="191"/>
      <c r="G29" s="157"/>
      <c r="H29" s="157"/>
      <c r="I29" s="157"/>
    </row>
    <row r="30" spans="1:9" s="3" customFormat="1" ht="18">
      <c r="A30" s="18"/>
      <c r="B30" s="189" t="s">
        <v>226</v>
      </c>
      <c r="C30" s="193" t="str">
        <f>IF('1. Datos de entrada'!G190="","","Recomendar disminuir el tamaño de la cámara")</f>
        <v/>
      </c>
      <c r="D30" s="190"/>
      <c r="E30" s="190"/>
      <c r="F30" s="191"/>
      <c r="G30" s="157"/>
      <c r="H30" s="157"/>
      <c r="I30" s="157"/>
    </row>
    <row r="31" spans="1:9" s="3" customFormat="1" ht="18">
      <c r="A31" s="18"/>
      <c r="B31" s="189" t="s">
        <v>226</v>
      </c>
      <c r="C31" s="193" t="str">
        <f>IF('1. Datos de entrada'!G192="","","Recomendar ampliar la cámara")</f>
        <v/>
      </c>
      <c r="D31" s="190"/>
      <c r="E31" s="190"/>
      <c r="F31" s="191"/>
      <c r="G31" s="157"/>
      <c r="H31" s="157"/>
      <c r="I31" s="157"/>
    </row>
    <row r="32" spans="1:9" s="3" customFormat="1" ht="16.5" customHeight="1">
      <c r="A32" s="18"/>
      <c r="B32" s="189" t="s">
        <v>226</v>
      </c>
      <c r="C32" s="193" t="str">
        <f>IF('1. Datos de entrada'!G192="","","Recomendar un mejor uso de la cámara")</f>
        <v/>
      </c>
      <c r="D32" s="190"/>
      <c r="E32" s="190"/>
      <c r="F32" s="191"/>
      <c r="G32" s="157"/>
      <c r="H32" s="157"/>
      <c r="I32" s="157"/>
    </row>
    <row r="33" spans="1:9" s="3" customFormat="1" ht="16.5" customHeight="1">
      <c r="A33" s="18"/>
      <c r="B33" s="189" t="s">
        <v>226</v>
      </c>
      <c r="C33" s="193" t="str">
        <f>IF('1. Datos de entrada'!I204="","","Recomendar una mejor distribución de productos")</f>
        <v/>
      </c>
      <c r="D33" s="190"/>
      <c r="E33" s="190"/>
      <c r="F33" s="191"/>
      <c r="G33" s="157"/>
      <c r="H33" s="157"/>
      <c r="I33" s="157"/>
    </row>
    <row r="34" spans="1:9" s="3" customFormat="1" ht="16.5" customHeight="1">
      <c r="A34" s="18"/>
      <c r="B34" s="189" t="s">
        <v>227</v>
      </c>
      <c r="C34" s="193" t="str">
        <f>IF('1. Datos de entrada'!I208="","","Recomendar reubicar el evaporador")</f>
        <v/>
      </c>
      <c r="D34" s="190"/>
      <c r="E34" s="190"/>
      <c r="F34" s="191"/>
      <c r="G34" s="157"/>
      <c r="H34" s="157"/>
      <c r="I34" s="157"/>
    </row>
    <row r="35" spans="1:9" s="3" customFormat="1" ht="16.5" customHeight="1">
      <c r="A35" s="18"/>
      <c r="B35" s="189" t="s">
        <v>227</v>
      </c>
      <c r="C35" s="193" t="str">
        <f>IF('1. Datos de entrada'!G206="","","Recomendar reubicar productos para dejar libre el evaporador")</f>
        <v/>
      </c>
      <c r="D35" s="190"/>
      <c r="E35" s="190"/>
      <c r="F35" s="191"/>
      <c r="G35" s="157"/>
      <c r="H35" s="157"/>
      <c r="I35" s="157"/>
    </row>
    <row r="36" spans="1:9" s="3" customFormat="1" ht="16.5" customHeight="1">
      <c r="A36" s="18"/>
      <c r="B36" s="189"/>
      <c r="C36" s="193"/>
      <c r="D36" s="190"/>
      <c r="E36" s="190"/>
      <c r="F36" s="191"/>
      <c r="G36" s="157"/>
      <c r="H36" s="157"/>
      <c r="I36" s="157"/>
    </row>
    <row r="37" spans="1:9" s="3" customFormat="1" ht="16.5" customHeight="1">
      <c r="A37" s="18"/>
      <c r="B37" s="192" t="s">
        <v>228</v>
      </c>
      <c r="C37" s="193"/>
      <c r="D37" s="190"/>
      <c r="E37" s="190"/>
      <c r="F37" s="191"/>
      <c r="G37" s="157"/>
      <c r="H37" s="157"/>
      <c r="I37" s="157"/>
    </row>
    <row r="38" spans="1:9" s="3" customFormat="1" ht="16.5" customHeight="1">
      <c r="A38" s="18"/>
      <c r="B38" s="18" t="s">
        <v>215</v>
      </c>
      <c r="C38" s="193"/>
      <c r="D38" s="190"/>
      <c r="E38" s="190"/>
      <c r="F38" s="191"/>
      <c r="G38" s="157"/>
      <c r="H38" s="157"/>
      <c r="I38" s="157"/>
    </row>
    <row r="39" spans="1:9" s="3" customFormat="1" ht="16.5" customHeight="1">
      <c r="A39" s="18"/>
      <c r="B39" s="189" t="s">
        <v>225</v>
      </c>
      <c r="C39" s="193" t="str">
        <f>IF('1. Datos de entrada'!I223="","","Recomendar otra temperatura interior de acuerdo a Tutorial")</f>
        <v/>
      </c>
      <c r="D39" s="190"/>
      <c r="E39" s="190"/>
      <c r="F39" s="191"/>
      <c r="G39" s="157"/>
      <c r="H39" s="157"/>
      <c r="I39" s="157"/>
    </row>
    <row r="40" spans="1:9" s="3" customFormat="1" ht="16.5" customHeight="1">
      <c r="A40" s="18"/>
      <c r="B40" s="189" t="s">
        <v>226</v>
      </c>
      <c r="C40" s="193" t="str">
        <f>IF('1. Datos de entrada'!I234="","","Recomendar una mejor distribución de productos")</f>
        <v/>
      </c>
      <c r="D40" s="190"/>
      <c r="E40" s="190"/>
      <c r="F40" s="191"/>
      <c r="G40" s="157"/>
      <c r="H40" s="157"/>
      <c r="I40" s="157"/>
    </row>
    <row r="41" spans="1:9" s="3" customFormat="1" ht="16.5" customHeight="1">
      <c r="A41" s="18"/>
      <c r="B41" s="189" t="s">
        <v>232</v>
      </c>
      <c r="C41" s="193" t="str">
        <f>IF('1. Datos de entrada'!I228="","","Recomendar el cierre del mueble")</f>
        <v/>
      </c>
      <c r="D41" s="190"/>
      <c r="E41" s="190"/>
      <c r="F41" s="191"/>
      <c r="G41" s="197" t="s">
        <v>233</v>
      </c>
      <c r="H41" s="157"/>
      <c r="I41" s="157"/>
    </row>
    <row r="42" spans="1:9" s="3" customFormat="1" ht="16.5" customHeight="1">
      <c r="A42" s="18"/>
      <c r="B42" s="189" t="s">
        <v>231</v>
      </c>
      <c r="C42" s="193" t="str">
        <f>IF('1. Datos de entrada'!I230="","","Recomendar utilizar una protección de día o de noche")</f>
        <v/>
      </c>
      <c r="D42" s="190"/>
      <c r="E42" s="190"/>
      <c r="F42" s="191"/>
      <c r="G42" s="157"/>
      <c r="H42" s="157"/>
      <c r="I42" s="157"/>
    </row>
    <row r="43" spans="1:9" s="3" customFormat="1" ht="16.5" customHeight="1">
      <c r="A43" s="18"/>
      <c r="B43" s="198" t="s">
        <v>234</v>
      </c>
      <c r="D43" s="190"/>
      <c r="E43" s="190"/>
      <c r="F43" s="191"/>
      <c r="G43" s="157"/>
      <c r="H43" s="157"/>
      <c r="I43" s="157"/>
    </row>
    <row r="44" spans="1:9" s="3" customFormat="1" ht="16.5" customHeight="1">
      <c r="A44" s="18"/>
      <c r="B44" s="189"/>
      <c r="C44" s="193"/>
      <c r="D44" s="190"/>
      <c r="E44" s="190"/>
      <c r="F44" s="191"/>
      <c r="G44" s="157"/>
      <c r="H44" s="157"/>
      <c r="I44" s="157"/>
    </row>
    <row r="45" spans="1:9" s="3" customFormat="1" ht="18">
      <c r="A45" s="316" t="s">
        <v>230</v>
      </c>
      <c r="B45" s="316"/>
      <c r="C45" s="316"/>
      <c r="D45" s="316"/>
      <c r="E45" s="316"/>
      <c r="F45" s="316"/>
      <c r="G45" s="316"/>
      <c r="H45" s="316"/>
      <c r="I45" s="157"/>
    </row>
    <row r="46" spans="1:9" s="3" customFormat="1" ht="18">
      <c r="A46" s="195"/>
      <c r="B46" s="18" t="s">
        <v>215</v>
      </c>
      <c r="C46" s="18"/>
      <c r="D46" s="18"/>
      <c r="E46" s="18"/>
      <c r="F46" s="18"/>
      <c r="G46" s="18"/>
      <c r="H46" s="18"/>
      <c r="I46" s="157"/>
    </row>
    <row r="47" spans="1:9" s="3" customFormat="1" ht="18">
      <c r="A47" s="195"/>
      <c r="B47" s="18"/>
      <c r="C47" s="193" t="str">
        <f>IF('1. Datos de entrada'!E210="","","Optimizar el proceso de apertura y cierre de puerta")</f>
        <v/>
      </c>
      <c r="D47" s="18"/>
      <c r="E47" s="18"/>
      <c r="F47" s="18"/>
      <c r="G47" s="18"/>
      <c r="H47" s="18"/>
      <c r="I47" s="157"/>
    </row>
    <row r="48" spans="1:9" s="3" customFormat="1" ht="18">
      <c r="A48" s="195"/>
      <c r="B48" s="320" t="s">
        <v>208</v>
      </c>
      <c r="C48" s="320"/>
      <c r="D48" s="320"/>
      <c r="E48" s="320"/>
      <c r="F48" s="320"/>
      <c r="G48" s="320"/>
      <c r="H48" s="320"/>
      <c r="I48" s="157"/>
    </row>
    <row r="49" spans="1:9" s="3" customFormat="1" ht="18">
      <c r="A49" s="195"/>
      <c r="B49" s="321" t="s">
        <v>209</v>
      </c>
      <c r="C49" s="321"/>
      <c r="D49" s="321"/>
      <c r="E49" s="288">
        <f>'4. MAE apertura cierre puertas'!G83</f>
        <v>0</v>
      </c>
      <c r="F49" s="111" t="s">
        <v>180</v>
      </c>
      <c r="G49" s="183"/>
      <c r="H49" s="183"/>
      <c r="I49" s="157"/>
    </row>
    <row r="50" spans="1:9" s="3" customFormat="1" ht="18">
      <c r="A50" s="18"/>
      <c r="B50" s="156"/>
      <c r="C50" s="157"/>
      <c r="D50" s="157"/>
      <c r="E50" s="157"/>
      <c r="F50" s="157"/>
      <c r="G50" s="157"/>
      <c r="H50" s="157"/>
      <c r="I50" s="157"/>
    </row>
    <row r="51" spans="1:9" ht="19.5" customHeight="1">
      <c r="A51" s="318" t="s">
        <v>235</v>
      </c>
      <c r="B51" s="318"/>
      <c r="C51" s="318"/>
      <c r="D51" s="318"/>
      <c r="E51" s="318"/>
      <c r="F51" s="318"/>
      <c r="G51" s="318"/>
      <c r="H51" s="318"/>
    </row>
    <row r="52" spans="1:9">
      <c r="A52" s="18"/>
      <c r="B52" s="18"/>
      <c r="C52" s="18"/>
      <c r="D52" s="18"/>
      <c r="E52" s="18"/>
      <c r="F52" s="18"/>
      <c r="G52" s="18"/>
      <c r="H52" s="18"/>
    </row>
    <row r="53" spans="1:9" s="3" customFormat="1">
      <c r="A53" s="18"/>
      <c r="B53" s="30" t="s">
        <v>236</v>
      </c>
      <c r="C53" s="18"/>
      <c r="D53" s="18"/>
      <c r="E53" s="18"/>
      <c r="F53" s="18"/>
      <c r="G53" s="18"/>
      <c r="H53" s="18"/>
    </row>
    <row r="54" spans="1:9" s="3" customFormat="1">
      <c r="A54" s="18"/>
      <c r="B54" s="18" t="s">
        <v>237</v>
      </c>
      <c r="C54" s="18"/>
      <c r="D54" s="18"/>
      <c r="E54" s="18"/>
      <c r="F54" s="18"/>
      <c r="G54" s="18"/>
      <c r="H54" s="18"/>
    </row>
    <row r="55" spans="1:9" s="3" customFormat="1">
      <c r="A55" s="18"/>
      <c r="B55" s="18"/>
      <c r="C55" s="18"/>
      <c r="D55" s="18"/>
      <c r="E55" s="18"/>
      <c r="F55" s="18"/>
      <c r="G55" s="18"/>
      <c r="H55" s="18"/>
    </row>
    <row r="56" spans="1:9" s="3" customFormat="1">
      <c r="A56" s="18"/>
      <c r="B56" s="30" t="s">
        <v>243</v>
      </c>
      <c r="C56" s="18"/>
      <c r="D56" s="18"/>
      <c r="E56" s="18"/>
      <c r="F56" s="18"/>
      <c r="G56" s="18"/>
      <c r="H56" s="18"/>
    </row>
    <row r="57" spans="1:9">
      <c r="A57" s="18"/>
      <c r="B57" s="18" t="s">
        <v>240</v>
      </c>
      <c r="C57" s="18"/>
      <c r="D57" s="18"/>
      <c r="E57" s="18"/>
      <c r="F57" s="18"/>
      <c r="G57" s="18"/>
      <c r="H57" s="18"/>
    </row>
    <row r="58" spans="1:9" s="3" customFormat="1">
      <c r="A58" s="18"/>
      <c r="B58" s="18" t="s">
        <v>238</v>
      </c>
      <c r="C58" s="193" t="str">
        <f>IF('1. Datos de entrada'!G74="","","Equipo requiere de mantenimiento")</f>
        <v/>
      </c>
      <c r="D58" s="18"/>
      <c r="E58" s="18"/>
      <c r="F58" s="18"/>
      <c r="G58" s="18"/>
      <c r="H58" s="18"/>
    </row>
    <row r="59" spans="1:9" s="3" customFormat="1">
      <c r="A59" s="18"/>
      <c r="B59" s="18" t="s">
        <v>239</v>
      </c>
      <c r="C59" s="193" t="str">
        <f>IF('1. Datos de entrada'!G76="","","Equipo requiere de mantenimiento")</f>
        <v/>
      </c>
      <c r="D59" s="18"/>
      <c r="E59" s="18"/>
      <c r="F59" s="18"/>
      <c r="G59" s="18"/>
      <c r="H59" s="18"/>
    </row>
    <row r="60" spans="1:9" s="3" customFormat="1">
      <c r="A60" s="18"/>
      <c r="B60" s="18" t="s">
        <v>241</v>
      </c>
      <c r="C60" s="193" t="str">
        <f>IF('1. Datos de entrada'!G78="","","Equipo requiere de mantenimiento")</f>
        <v/>
      </c>
      <c r="D60" s="18"/>
      <c r="E60" s="18"/>
      <c r="F60" s="18"/>
      <c r="G60" s="18"/>
      <c r="H60" s="18"/>
    </row>
    <row r="61" spans="1:9" s="3" customFormat="1">
      <c r="A61" s="18"/>
      <c r="B61" s="18" t="s">
        <v>242</v>
      </c>
      <c r="C61" s="193" t="str">
        <f>IF('1. Datos de entrada'!G84="","","Investigar el funcionamiento inadecuado, de acuerdo a tutorial")</f>
        <v/>
      </c>
      <c r="D61" s="18"/>
      <c r="E61" s="18"/>
      <c r="F61" s="18"/>
      <c r="G61" s="18"/>
      <c r="H61" s="18"/>
    </row>
    <row r="62" spans="1:9" s="3" customFormat="1">
      <c r="A62" s="18"/>
      <c r="B62" s="18"/>
      <c r="C62" s="193"/>
      <c r="D62" s="18"/>
      <c r="E62" s="18"/>
      <c r="F62" s="18"/>
      <c r="G62" s="18"/>
      <c r="H62" s="18"/>
    </row>
    <row r="63" spans="1:9" s="3" customFormat="1">
      <c r="A63" s="18" t="s">
        <v>253</v>
      </c>
      <c r="B63" s="18"/>
      <c r="C63" s="18"/>
      <c r="D63" s="18"/>
      <c r="E63" s="18"/>
      <c r="F63" s="18"/>
      <c r="G63" s="18"/>
      <c r="H63" s="18"/>
    </row>
    <row r="64" spans="1:9" s="3" customFormat="1" ht="11.25" customHeight="1">
      <c r="A64" s="18"/>
      <c r="B64" s="18"/>
      <c r="C64" s="18"/>
      <c r="D64" s="18"/>
      <c r="E64" s="18"/>
      <c r="F64" s="18"/>
      <c r="G64" s="18"/>
      <c r="H64" s="18"/>
    </row>
    <row r="65" spans="1:8" ht="36" customHeight="1">
      <c r="A65" s="1"/>
      <c r="B65" s="1"/>
      <c r="C65" s="48" t="s">
        <v>42</v>
      </c>
      <c r="D65" s="301" t="s">
        <v>206</v>
      </c>
      <c r="E65" s="301"/>
      <c r="F65" s="317"/>
      <c r="G65" s="317"/>
      <c r="H65" s="18"/>
    </row>
    <row r="66" spans="1:8">
      <c r="A66" s="1"/>
      <c r="B66" s="1"/>
      <c r="C66" s="34">
        <v>1</v>
      </c>
      <c r="D66" s="328" t="str">
        <f>IF('1. Datos de entrada'!K56&gt;10,"Recomendable sustituir compresor","No llegó al final de su vida útil")</f>
        <v>No llegó al final de su vida útil</v>
      </c>
      <c r="E66" s="328"/>
      <c r="F66" s="200"/>
      <c r="G66" s="18"/>
      <c r="H66" s="18"/>
    </row>
    <row r="67" spans="1:8">
      <c r="A67" s="1"/>
      <c r="B67" s="1"/>
      <c r="C67" s="34">
        <v>2</v>
      </c>
      <c r="D67" s="328" t="str">
        <f>IF('1. Datos de entrada'!K57&gt;10,"Recomendable sustituir compresor","No llegó al final de su vida útil")</f>
        <v>No llegó al final de su vida útil</v>
      </c>
      <c r="E67" s="328"/>
      <c r="F67" s="200"/>
      <c r="G67" s="18"/>
      <c r="H67" s="18"/>
    </row>
    <row r="68" spans="1:8">
      <c r="A68" s="1"/>
      <c r="B68" s="1"/>
      <c r="C68" s="34">
        <v>3</v>
      </c>
      <c r="D68" s="328" t="str">
        <f>IF('1. Datos de entrada'!K58&gt;10,"Recomendable sustituir compresor","No llegó al final de su vida útil")</f>
        <v>No llegó al final de su vida útil</v>
      </c>
      <c r="E68" s="328"/>
      <c r="F68" s="200"/>
      <c r="G68" s="18"/>
      <c r="H68" s="18"/>
    </row>
    <row r="69" spans="1:8">
      <c r="A69" s="1"/>
      <c r="B69" s="1"/>
      <c r="C69" s="34">
        <v>4</v>
      </c>
      <c r="D69" s="328" t="str">
        <f>IF('1. Datos de entrada'!K59&gt;10,"Recomendable sustituir compresor","No llegó al final de su vida útil")</f>
        <v>No llegó al final de su vida útil</v>
      </c>
      <c r="E69" s="328"/>
      <c r="F69" s="200"/>
      <c r="G69" s="18"/>
      <c r="H69" s="18"/>
    </row>
    <row r="70" spans="1:8">
      <c r="A70" s="1"/>
      <c r="B70" s="1"/>
      <c r="C70" s="34">
        <v>5</v>
      </c>
      <c r="D70" s="328" t="str">
        <f>IF('1. Datos de entrada'!K60&gt;10,"Recomendable sustituir compresor","No llegó al final de su vida útil")</f>
        <v>No llegó al final de su vida útil</v>
      </c>
      <c r="E70" s="328"/>
      <c r="F70" s="200"/>
      <c r="G70" s="18"/>
      <c r="H70" s="18"/>
    </row>
    <row r="71" spans="1:8">
      <c r="A71" s="1"/>
      <c r="B71" s="1"/>
      <c r="C71" s="34">
        <v>6</v>
      </c>
      <c r="D71" s="328" t="str">
        <f>IF('1. Datos de entrada'!K61&gt;10,"Recomendable sustituir compresor","No llegó al final de su vida útil")</f>
        <v>No llegó al final de su vida útil</v>
      </c>
      <c r="E71" s="328"/>
      <c r="F71" s="200"/>
      <c r="G71" s="18"/>
      <c r="H71" s="18"/>
    </row>
    <row r="72" spans="1:8">
      <c r="A72" s="18"/>
      <c r="B72" s="18"/>
      <c r="C72" s="18"/>
      <c r="D72" s="18"/>
      <c r="E72" s="18"/>
      <c r="F72" s="18"/>
      <c r="G72" s="18"/>
      <c r="H72" s="18"/>
    </row>
    <row r="73" spans="1:8" s="3" customFormat="1">
      <c r="A73" s="18"/>
      <c r="B73" s="30" t="s">
        <v>248</v>
      </c>
      <c r="C73" s="18"/>
      <c r="D73" s="18"/>
      <c r="E73" s="18"/>
      <c r="F73" s="18"/>
      <c r="G73" s="18"/>
      <c r="H73" s="18"/>
    </row>
    <row r="74" spans="1:8" s="3" customFormat="1">
      <c r="A74" s="18"/>
      <c r="B74" s="18" t="s">
        <v>240</v>
      </c>
      <c r="C74" s="18"/>
      <c r="D74" s="18"/>
      <c r="E74" s="18"/>
      <c r="F74" s="18"/>
      <c r="G74" s="18"/>
      <c r="H74" s="18"/>
    </row>
    <row r="75" spans="1:8">
      <c r="A75" s="18"/>
      <c r="B75" s="18" t="s">
        <v>246</v>
      </c>
      <c r="C75" s="193" t="str">
        <f>IF('1. Datos de entrada'!I104="","","Recomendar mantenimiento o sugerir cambio")</f>
        <v/>
      </c>
      <c r="D75" s="18"/>
      <c r="E75" s="18"/>
      <c r="F75" s="18"/>
      <c r="G75" s="18"/>
      <c r="H75" s="18"/>
    </row>
    <row r="76" spans="1:8">
      <c r="A76" s="18"/>
      <c r="B76" s="18" t="s">
        <v>246</v>
      </c>
      <c r="C76" s="193" t="str">
        <f>IF('1. Datos de entrada'!G106="","","Recomendar mantenimiento o sugerir cambio")</f>
        <v/>
      </c>
      <c r="D76" s="18"/>
      <c r="E76" s="18"/>
      <c r="F76" s="18"/>
      <c r="G76" s="18"/>
      <c r="H76" s="18"/>
    </row>
    <row r="77" spans="1:8" ht="14.25" customHeight="1">
      <c r="A77" s="18"/>
      <c r="B77" s="18" t="s">
        <v>247</v>
      </c>
      <c r="C77" s="193" t="str">
        <f>IF('1. Datos de entrada'!I110="","","Recomendar instalar un variador de frecuencia")</f>
        <v/>
      </c>
      <c r="D77" s="18"/>
      <c r="E77" s="18"/>
      <c r="F77" s="18"/>
      <c r="G77" s="18"/>
      <c r="H77" s="18"/>
    </row>
    <row r="78" spans="1:8" s="3" customFormat="1" ht="14.25" customHeight="1">
      <c r="A78" s="18"/>
      <c r="B78" s="18"/>
      <c r="C78" s="193"/>
      <c r="D78" s="18"/>
      <c r="E78" s="18"/>
      <c r="F78" s="18"/>
      <c r="G78" s="18"/>
      <c r="H78" s="18"/>
    </row>
    <row r="79" spans="1:8">
      <c r="A79" s="18"/>
      <c r="B79" s="30" t="s">
        <v>249</v>
      </c>
      <c r="C79" s="18"/>
      <c r="D79" s="18"/>
      <c r="E79" s="18"/>
      <c r="F79" s="18"/>
      <c r="G79" s="18"/>
      <c r="H79" s="18"/>
    </row>
    <row r="80" spans="1:8">
      <c r="A80" s="18"/>
      <c r="B80" s="18" t="s">
        <v>240</v>
      </c>
      <c r="C80" s="18"/>
      <c r="D80" s="18"/>
      <c r="E80" s="18"/>
      <c r="F80" s="18"/>
      <c r="G80" s="18"/>
      <c r="H80" s="18"/>
    </row>
    <row r="81" spans="1:8">
      <c r="A81" s="18"/>
      <c r="B81" s="18" t="s">
        <v>246</v>
      </c>
      <c r="C81" s="193" t="str">
        <f>IF('1. Datos de entrada'!I152="","","Recomendar mantenimiento o sugerir cambio")</f>
        <v/>
      </c>
      <c r="D81" s="18"/>
      <c r="E81" s="18"/>
      <c r="F81" s="18"/>
      <c r="G81" s="18"/>
      <c r="H81" s="18"/>
    </row>
    <row r="82" spans="1:8">
      <c r="A82" s="18"/>
      <c r="B82" s="18" t="s">
        <v>246</v>
      </c>
      <c r="C82" s="193" t="str">
        <f>IF('1. Datos de entrada'!G154="","","Recomendar mantenimiento o sugerir cambio")</f>
        <v/>
      </c>
      <c r="D82" s="18"/>
      <c r="E82" s="18"/>
      <c r="F82" s="18"/>
      <c r="G82" s="18"/>
      <c r="H82" s="18"/>
    </row>
    <row r="83" spans="1:8">
      <c r="A83" s="18"/>
      <c r="B83" s="18" t="s">
        <v>247</v>
      </c>
      <c r="C83" s="193" t="str">
        <f>IF('1. Datos de entrada'!I158="","","Recomendar instalar un variador de frecuencia")</f>
        <v/>
      </c>
      <c r="D83" s="18"/>
      <c r="E83" s="18"/>
      <c r="F83" s="18"/>
      <c r="G83" s="18"/>
      <c r="H83" s="18"/>
    </row>
    <row r="84" spans="1:8">
      <c r="A84" s="18"/>
      <c r="B84" s="18"/>
      <c r="C84" s="18"/>
      <c r="D84" s="18"/>
      <c r="E84" s="18"/>
      <c r="F84" s="18"/>
      <c r="G84" s="18"/>
      <c r="H84" s="18"/>
    </row>
    <row r="85" spans="1:8">
      <c r="A85" s="18"/>
      <c r="B85" s="18"/>
      <c r="C85" s="18"/>
      <c r="D85" s="18"/>
      <c r="E85" s="18"/>
      <c r="F85" s="18"/>
      <c r="G85" s="18"/>
      <c r="H85" s="18"/>
    </row>
    <row r="86" spans="1:8">
      <c r="A86" s="318" t="s">
        <v>250</v>
      </c>
      <c r="B86" s="318"/>
      <c r="C86" s="318"/>
      <c r="D86" s="318"/>
      <c r="E86" s="318"/>
      <c r="F86" s="318"/>
      <c r="G86" s="318"/>
      <c r="H86" s="318"/>
    </row>
    <row r="87" spans="1:8">
      <c r="A87" s="18"/>
      <c r="B87" s="18"/>
      <c r="C87" s="18"/>
      <c r="D87" s="18"/>
      <c r="E87" s="18"/>
      <c r="F87" s="18"/>
      <c r="G87" s="18"/>
      <c r="H87" s="18"/>
    </row>
    <row r="88" spans="1:8">
      <c r="A88" s="18"/>
      <c r="B88" s="18" t="s">
        <v>240</v>
      </c>
      <c r="C88" s="201"/>
      <c r="D88" s="201"/>
      <c r="E88" s="201"/>
      <c r="F88" s="201"/>
      <c r="G88" s="201"/>
      <c r="H88" s="201"/>
    </row>
    <row r="89" spans="1:8" s="3" customFormat="1" ht="27.75" customHeight="1">
      <c r="A89" s="18"/>
      <c r="B89" s="185" t="s">
        <v>225</v>
      </c>
      <c r="C89" s="201">
        <f>'1. Datos de entrada'!G130</f>
        <v>0</v>
      </c>
      <c r="D89" s="201" t="s">
        <v>124</v>
      </c>
      <c r="E89" s="319" t="str">
        <f>IF('1. Datos de entrada'!C15="","",IF('2. MAE Evaluación general'!C89&lt;3,"Se sugiere revisar si se puede incrementar la temperatura arriba de 3°C","Recordar que el proceso de deshielo se puede llevar a cabo con la circulación forzada del ventilador"))</f>
        <v/>
      </c>
      <c r="F89" s="319"/>
      <c r="G89" s="319"/>
      <c r="H89" s="319"/>
    </row>
    <row r="90" spans="1:8" s="3" customFormat="1">
      <c r="A90" s="18"/>
      <c r="B90" s="18" t="s">
        <v>251</v>
      </c>
      <c r="C90" s="193" t="str">
        <f>IF('1. Datos de entrada'!I140="","","Existe oportunidad para mejorar el proceso de deshielo")</f>
        <v/>
      </c>
      <c r="D90" s="201"/>
      <c r="E90" s="201"/>
      <c r="F90" s="201"/>
      <c r="G90" s="201"/>
      <c r="H90" s="201"/>
    </row>
    <row r="91" spans="1:8" s="3" customFormat="1">
      <c r="A91" s="18"/>
      <c r="B91" s="18" t="s">
        <v>251</v>
      </c>
      <c r="C91" s="193" t="str">
        <f>IF('1. Datos de entrada'!I142="","","Existe oportunidad para mejorar el proceso de deshielo")</f>
        <v/>
      </c>
      <c r="D91" s="201"/>
      <c r="E91" s="201"/>
      <c r="F91" s="201"/>
      <c r="G91" s="201"/>
      <c r="H91" s="201"/>
    </row>
    <row r="92" spans="1:8" s="3" customFormat="1">
      <c r="A92" s="18"/>
      <c r="B92" s="18" t="s">
        <v>252</v>
      </c>
      <c r="C92" s="193" t="str">
        <f>IF('1. Datos de entrada'!I144="","","Revisar si se puede automatizar el proceso de deshielo")</f>
        <v/>
      </c>
      <c r="D92" s="201"/>
      <c r="E92" s="201"/>
      <c r="F92" s="201"/>
      <c r="G92" s="201"/>
      <c r="H92" s="201"/>
    </row>
    <row r="93" spans="1:8" s="3" customFormat="1">
      <c r="A93" s="18"/>
      <c r="B93" s="201"/>
      <c r="C93" s="201"/>
      <c r="D93" s="201"/>
      <c r="E93" s="201"/>
      <c r="F93" s="201"/>
      <c r="G93" s="201"/>
      <c r="H93" s="201"/>
    </row>
    <row r="94" spans="1:8">
      <c r="A94" s="1"/>
      <c r="B94" s="320" t="s">
        <v>208</v>
      </c>
      <c r="C94" s="320"/>
      <c r="D94" s="320"/>
      <c r="E94" s="320"/>
      <c r="F94" s="320"/>
      <c r="G94" s="320"/>
      <c r="H94" s="320"/>
    </row>
    <row r="95" spans="1:8">
      <c r="A95" s="1"/>
      <c r="B95" s="321" t="s">
        <v>209</v>
      </c>
      <c r="C95" s="321"/>
      <c r="D95" s="321"/>
      <c r="E95" s="284">
        <f>'5. MAE proceso deshielo'!G87</f>
        <v>0</v>
      </c>
      <c r="F95" s="285" t="s">
        <v>180</v>
      </c>
      <c r="G95" s="183"/>
      <c r="H95" s="183"/>
    </row>
    <row r="96" spans="1:8">
      <c r="A96" s="1"/>
      <c r="B96" s="1"/>
      <c r="C96" s="1"/>
      <c r="D96" s="1"/>
      <c r="E96" s="1"/>
      <c r="F96" s="1"/>
      <c r="G96" s="1"/>
      <c r="H96" s="1"/>
    </row>
    <row r="97" spans="1:8">
      <c r="A97" s="318" t="s">
        <v>262</v>
      </c>
      <c r="B97" s="318"/>
      <c r="C97" s="318"/>
      <c r="D97" s="318"/>
      <c r="E97" s="318"/>
      <c r="F97" s="318"/>
      <c r="G97" s="318"/>
      <c r="H97" s="318"/>
    </row>
    <row r="98" spans="1:8">
      <c r="A98" s="18"/>
      <c r="B98" s="18"/>
      <c r="C98" s="18"/>
      <c r="D98" s="18"/>
      <c r="E98" s="18"/>
      <c r="F98" s="18"/>
      <c r="G98" s="18"/>
      <c r="H98" s="18"/>
    </row>
    <row r="99" spans="1:8">
      <c r="A99" s="18"/>
      <c r="B99" s="30" t="s">
        <v>254</v>
      </c>
      <c r="C99" s="18"/>
      <c r="D99" s="18"/>
      <c r="E99" s="18"/>
      <c r="F99" s="18"/>
      <c r="G99" s="18"/>
      <c r="H99" s="18"/>
    </row>
    <row r="100" spans="1:8">
      <c r="A100" s="18"/>
      <c r="B100" s="18" t="s">
        <v>240</v>
      </c>
      <c r="C100" s="18"/>
      <c r="D100" s="18"/>
      <c r="E100" s="18"/>
      <c r="F100" s="18"/>
      <c r="G100" s="18"/>
      <c r="H100" s="18"/>
    </row>
    <row r="101" spans="1:8">
      <c r="A101" s="18"/>
      <c r="B101" s="18" t="s">
        <v>245</v>
      </c>
      <c r="C101" s="193" t="str">
        <f>IF('1. Datos de entrada'!G84="","","Investigar el funcionamiento inadecuado - ver tutorial")</f>
        <v/>
      </c>
      <c r="D101" s="18"/>
      <c r="E101" s="18"/>
      <c r="F101" s="18"/>
      <c r="G101" s="18"/>
      <c r="H101" s="18"/>
    </row>
    <row r="102" spans="1:8">
      <c r="A102" s="18"/>
      <c r="B102" s="18" t="s">
        <v>245</v>
      </c>
      <c r="C102" s="193" t="str">
        <f>IF('1. Datos de entrada'!G86="","","Investigar el funcionamiento inadecuado - ver tutorial")</f>
        <v/>
      </c>
      <c r="D102" s="18"/>
      <c r="E102" s="18"/>
      <c r="F102" s="18"/>
      <c r="G102" s="18"/>
      <c r="H102" s="18"/>
    </row>
    <row r="103" spans="1:8">
      <c r="A103" s="18"/>
      <c r="B103" s="18"/>
      <c r="C103" s="18"/>
      <c r="D103" s="18"/>
      <c r="E103" s="18"/>
      <c r="F103" s="18"/>
      <c r="G103" s="18"/>
      <c r="H103" s="18"/>
    </row>
    <row r="104" spans="1:8">
      <c r="A104" s="18"/>
      <c r="B104" s="30" t="s">
        <v>255</v>
      </c>
      <c r="C104" s="18"/>
      <c r="D104" s="18"/>
      <c r="E104" s="18"/>
      <c r="F104" s="18"/>
      <c r="G104" s="18"/>
      <c r="H104" s="18"/>
    </row>
    <row r="105" spans="1:8">
      <c r="A105" s="18"/>
      <c r="B105" s="18" t="s">
        <v>240</v>
      </c>
      <c r="C105" s="18"/>
      <c r="D105" s="18"/>
      <c r="E105" s="18"/>
      <c r="F105" s="18"/>
      <c r="G105" s="18"/>
      <c r="H105" s="18"/>
    </row>
    <row r="106" spans="1:8">
      <c r="A106" s="18"/>
      <c r="B106" s="18" t="s">
        <v>227</v>
      </c>
      <c r="C106" s="193" t="str">
        <f>IF('1. Datos de entrada'!I98="","","Recomendar cambiar la ubicación")</f>
        <v/>
      </c>
      <c r="D106" s="18"/>
      <c r="E106" s="18"/>
      <c r="F106" s="18"/>
      <c r="G106" s="18"/>
      <c r="H106" s="18"/>
    </row>
    <row r="107" spans="1:8">
      <c r="A107" s="18"/>
      <c r="B107" s="18" t="s">
        <v>227</v>
      </c>
      <c r="C107" s="193" t="str">
        <f>IF('1. Datos de entrada'!G100="","","Recomendar remover los elementos que obstruyen el paso del aire")</f>
        <v/>
      </c>
      <c r="D107" s="18"/>
      <c r="E107" s="18"/>
      <c r="F107" s="18"/>
      <c r="G107" s="18"/>
      <c r="H107" s="18"/>
    </row>
    <row r="108" spans="1:8" ht="4.5" customHeight="1">
      <c r="A108" s="18"/>
      <c r="B108" s="18"/>
      <c r="C108" s="18"/>
      <c r="D108" s="18"/>
      <c r="E108" s="18"/>
      <c r="F108" s="18"/>
      <c r="G108" s="18"/>
      <c r="H108" s="18"/>
    </row>
    <row r="109" spans="1:8" s="3" customFormat="1">
      <c r="A109" s="18"/>
      <c r="B109" s="18" t="s">
        <v>260</v>
      </c>
      <c r="C109" s="18"/>
      <c r="D109" s="18"/>
      <c r="E109" s="18"/>
      <c r="F109" s="18"/>
      <c r="G109" s="18"/>
      <c r="H109" s="18"/>
    </row>
    <row r="110" spans="1:8">
      <c r="A110" s="18"/>
      <c r="B110" s="18" t="s">
        <v>256</v>
      </c>
      <c r="C110" s="18"/>
      <c r="D110" s="18"/>
      <c r="E110" s="18"/>
      <c r="F110" s="204"/>
      <c r="G110" s="187" t="s">
        <v>257</v>
      </c>
      <c r="H110" s="18"/>
    </row>
    <row r="111" spans="1:8" s="3" customFormat="1">
      <c r="A111" s="18"/>
      <c r="B111" s="213" t="s">
        <v>385</v>
      </c>
      <c r="C111" s="18"/>
      <c r="D111" s="18"/>
      <c r="E111" s="18"/>
      <c r="F111" s="22"/>
      <c r="G111" s="187"/>
      <c r="H111" s="18"/>
    </row>
    <row r="112" spans="1:8" s="3" customFormat="1" ht="5.25" customHeight="1">
      <c r="A112" s="18"/>
      <c r="B112" s="18"/>
      <c r="C112" s="18"/>
      <c r="D112" s="18"/>
      <c r="E112" s="18"/>
      <c r="F112" s="22"/>
      <c r="G112" s="187"/>
      <c r="H112" s="18"/>
    </row>
    <row r="113" spans="1:8">
      <c r="A113" s="18"/>
      <c r="B113" s="18" t="s">
        <v>403</v>
      </c>
      <c r="C113" s="18"/>
      <c r="D113" s="18"/>
      <c r="E113" s="18"/>
      <c r="F113" s="204"/>
      <c r="G113" s="18" t="s">
        <v>124</v>
      </c>
      <c r="H113" s="18"/>
    </row>
    <row r="114" spans="1:8" ht="7.5" customHeight="1">
      <c r="A114" s="18"/>
      <c r="B114" s="18"/>
      <c r="C114" s="18"/>
      <c r="D114" s="18"/>
      <c r="E114" s="18"/>
      <c r="F114" s="18"/>
      <c r="G114" s="18"/>
      <c r="H114" s="18"/>
    </row>
    <row r="115" spans="1:8">
      <c r="A115" s="18"/>
      <c r="B115" s="18" t="s">
        <v>259</v>
      </c>
      <c r="C115" s="18"/>
      <c r="D115" s="18"/>
      <c r="E115" s="18"/>
      <c r="F115" s="207">
        <f>3*F113</f>
        <v>0</v>
      </c>
      <c r="G115" s="207" t="s">
        <v>186</v>
      </c>
      <c r="H115" s="18"/>
    </row>
    <row r="116" spans="1:8">
      <c r="A116" s="18"/>
      <c r="B116" s="18"/>
      <c r="C116" s="18"/>
      <c r="D116" s="18"/>
      <c r="E116" s="18"/>
      <c r="F116" s="18"/>
      <c r="G116" s="18"/>
      <c r="H116" s="18"/>
    </row>
    <row r="117" spans="1:8">
      <c r="A117" s="18"/>
      <c r="B117" s="30" t="s">
        <v>263</v>
      </c>
      <c r="C117" s="18"/>
      <c r="D117" s="18"/>
      <c r="E117" s="18"/>
      <c r="F117" s="18"/>
      <c r="G117" s="18"/>
      <c r="H117" s="18"/>
    </row>
    <row r="118" spans="1:8" s="3" customFormat="1">
      <c r="A118" s="18"/>
      <c r="B118" s="18" t="s">
        <v>240</v>
      </c>
      <c r="C118" s="18"/>
      <c r="D118" s="18"/>
      <c r="E118" s="18"/>
      <c r="F118" s="18"/>
      <c r="G118" s="18"/>
      <c r="H118" s="18"/>
    </row>
    <row r="119" spans="1:8" s="3" customFormat="1">
      <c r="A119" s="18"/>
      <c r="B119" s="18" t="s">
        <v>227</v>
      </c>
      <c r="C119" s="193" t="str">
        <f>IF('1. Datos de entrada'!G136="","","Recomendar remover los elementos que obstruyen el paso del aire")</f>
        <v/>
      </c>
      <c r="D119" s="18"/>
      <c r="E119" s="18"/>
      <c r="F119" s="18"/>
      <c r="G119" s="18"/>
      <c r="H119" s="18"/>
    </row>
    <row r="120" spans="1:8" s="3" customFormat="1" ht="6.75" customHeight="1">
      <c r="A120" s="18"/>
      <c r="B120" s="18"/>
      <c r="C120" s="193"/>
      <c r="D120" s="18"/>
      <c r="E120" s="18"/>
      <c r="F120" s="18"/>
      <c r="G120" s="18"/>
      <c r="H120" s="18"/>
    </row>
    <row r="121" spans="1:8" s="3" customFormat="1">
      <c r="A121" s="18"/>
      <c r="B121" s="18" t="s">
        <v>264</v>
      </c>
      <c r="C121" s="18"/>
      <c r="D121" s="18"/>
      <c r="E121" s="18"/>
      <c r="F121" s="18"/>
      <c r="G121" s="18"/>
      <c r="H121" s="18"/>
    </row>
    <row r="122" spans="1:8" s="3" customFormat="1">
      <c r="A122" s="18"/>
      <c r="B122" s="18" t="s">
        <v>265</v>
      </c>
      <c r="C122" s="18"/>
      <c r="D122" s="18"/>
      <c r="E122" s="18"/>
      <c r="F122" s="204"/>
      <c r="G122" s="187" t="s">
        <v>257</v>
      </c>
      <c r="H122" s="18"/>
    </row>
    <row r="123" spans="1:8" s="3" customFormat="1" ht="6.75" customHeight="1">
      <c r="A123" s="18"/>
      <c r="B123" s="18"/>
      <c r="C123" s="18"/>
      <c r="D123" s="18"/>
      <c r="E123" s="18"/>
      <c r="F123" s="22"/>
      <c r="G123" s="187"/>
      <c r="H123" s="18"/>
    </row>
    <row r="124" spans="1:8" s="3" customFormat="1">
      <c r="A124" s="18"/>
      <c r="B124" s="18" t="s">
        <v>258</v>
      </c>
      <c r="C124" s="18"/>
      <c r="D124" s="18"/>
      <c r="E124" s="18"/>
      <c r="F124" s="204"/>
      <c r="G124" s="18" t="s">
        <v>124</v>
      </c>
      <c r="H124" s="18"/>
    </row>
    <row r="125" spans="1:8" s="3" customFormat="1" ht="5.25" customHeight="1">
      <c r="A125" s="18"/>
      <c r="B125" s="18"/>
      <c r="C125" s="18"/>
      <c r="D125" s="18"/>
      <c r="E125" s="18"/>
      <c r="F125" s="18"/>
      <c r="G125" s="18"/>
      <c r="H125" s="18"/>
    </row>
    <row r="126" spans="1:8" s="3" customFormat="1" ht="16.5" customHeight="1">
      <c r="A126" s="18"/>
      <c r="B126" s="18" t="s">
        <v>259</v>
      </c>
      <c r="C126" s="18"/>
      <c r="D126" s="18"/>
      <c r="E126" s="18"/>
      <c r="F126" s="207">
        <f>3*F124</f>
        <v>0</v>
      </c>
      <c r="G126" s="207" t="s">
        <v>186</v>
      </c>
      <c r="H126" s="18"/>
    </row>
    <row r="127" spans="1:8" s="3" customFormat="1" ht="16.5" customHeight="1">
      <c r="A127" s="18"/>
      <c r="B127" s="18"/>
      <c r="C127" s="18"/>
      <c r="D127" s="18"/>
      <c r="E127" s="18"/>
      <c r="F127" s="207"/>
      <c r="G127" s="207"/>
      <c r="H127" s="18"/>
    </row>
    <row r="128" spans="1:8" s="3" customFormat="1" ht="16.5" customHeight="1">
      <c r="A128" s="18"/>
      <c r="B128" s="30" t="s">
        <v>266</v>
      </c>
      <c r="C128" s="18"/>
      <c r="D128" s="18"/>
      <c r="E128" s="18"/>
      <c r="F128" s="207"/>
      <c r="G128" s="207"/>
      <c r="H128" s="18"/>
    </row>
    <row r="129" spans="1:8" s="3" customFormat="1" ht="16.5" customHeight="1">
      <c r="A129" s="18"/>
      <c r="B129" s="18" t="s">
        <v>268</v>
      </c>
      <c r="C129" s="18"/>
      <c r="D129" s="18"/>
      <c r="E129" s="18"/>
      <c r="F129" s="214">
        <f>'1. Datos de entrada'!G169</f>
        <v>0</v>
      </c>
      <c r="G129" s="206" t="s">
        <v>124</v>
      </c>
      <c r="H129" s="18"/>
    </row>
    <row r="130" spans="1:8" s="3" customFormat="1" ht="16.5" customHeight="1">
      <c r="A130" s="18"/>
      <c r="B130" s="18" t="s">
        <v>382</v>
      </c>
      <c r="C130" s="18"/>
      <c r="D130" s="18"/>
      <c r="E130" s="18"/>
      <c r="F130" s="214">
        <f>'1. Datos de entrada'!E66</f>
        <v>0</v>
      </c>
      <c r="G130" s="206" t="s">
        <v>383</v>
      </c>
      <c r="H130" s="18"/>
    </row>
    <row r="131" spans="1:8" s="3" customFormat="1" ht="16.5" customHeight="1">
      <c r="A131" s="18"/>
      <c r="B131" s="18" t="s">
        <v>384</v>
      </c>
      <c r="C131" s="18"/>
      <c r="D131" s="18"/>
      <c r="E131" s="18"/>
      <c r="F131" s="207"/>
      <c r="G131" s="207"/>
      <c r="H131" s="18"/>
    </row>
    <row r="132" spans="1:8" s="3" customFormat="1" ht="16.5" customHeight="1">
      <c r="A132" s="18"/>
      <c r="B132" s="18" t="s">
        <v>317</v>
      </c>
      <c r="C132" s="18"/>
      <c r="D132" s="18"/>
      <c r="E132" s="18"/>
      <c r="F132" s="215"/>
      <c r="G132" s="206" t="s">
        <v>124</v>
      </c>
      <c r="H132" s="18"/>
    </row>
    <row r="133" spans="1:8" s="3" customFormat="1" ht="16.5" customHeight="1">
      <c r="A133" s="18"/>
      <c r="B133" s="18"/>
      <c r="C133" s="18"/>
      <c r="D133" s="18"/>
      <c r="E133" s="18"/>
      <c r="F133" s="22"/>
      <c r="G133" s="206"/>
      <c r="H133" s="18"/>
    </row>
    <row r="134" spans="1:8" s="3" customFormat="1" ht="16.5" customHeight="1">
      <c r="A134" s="18"/>
      <c r="B134" s="205" t="s">
        <v>386</v>
      </c>
      <c r="C134" s="205"/>
      <c r="D134" s="205"/>
      <c r="E134" s="205"/>
      <c r="F134" s="217">
        <f>ABS(F132-F129)</f>
        <v>0</v>
      </c>
      <c r="G134" s="211" t="s">
        <v>124</v>
      </c>
      <c r="H134" s="18"/>
    </row>
    <row r="135" spans="1:8" s="3" customFormat="1" ht="6.75" customHeight="1">
      <c r="A135" s="18"/>
      <c r="B135" s="18"/>
      <c r="C135" s="18"/>
      <c r="D135" s="18"/>
      <c r="E135" s="18"/>
      <c r="F135" s="216"/>
      <c r="G135" s="206"/>
      <c r="H135" s="18"/>
    </row>
    <row r="136" spans="1:8" s="3" customFormat="1" ht="16.5" customHeight="1">
      <c r="A136" s="18"/>
      <c r="B136" s="18" t="s">
        <v>387</v>
      </c>
      <c r="D136" s="18"/>
      <c r="E136" s="18"/>
      <c r="F136" s="206"/>
      <c r="G136" s="206"/>
      <c r="H136" s="18"/>
    </row>
    <row r="137" spans="1:8" s="3" customFormat="1" ht="30" customHeight="1">
      <c r="A137" s="18"/>
      <c r="B137" s="292" t="s">
        <v>388</v>
      </c>
      <c r="C137" s="292"/>
      <c r="D137" s="292"/>
      <c r="E137" s="292"/>
      <c r="F137" s="292"/>
      <c r="G137" s="292"/>
      <c r="H137" s="292"/>
    </row>
    <row r="138" spans="1:8" s="3" customFormat="1" ht="15.75" customHeight="1">
      <c r="A138" s="18"/>
      <c r="B138" s="51"/>
      <c r="C138" s="51"/>
      <c r="D138" s="51"/>
      <c r="E138" s="51"/>
      <c r="F138" s="51"/>
      <c r="G138" s="51"/>
      <c r="H138" s="51"/>
    </row>
    <row r="139" spans="1:8" s="3" customFormat="1" ht="39.75" customHeight="1">
      <c r="A139" s="18"/>
      <c r="B139" s="208" t="s">
        <v>317</v>
      </c>
      <c r="C139" s="323" t="s">
        <v>318</v>
      </c>
      <c r="D139" s="323"/>
      <c r="E139" s="323"/>
      <c r="F139" s="323"/>
      <c r="G139" s="51"/>
      <c r="H139" s="18"/>
    </row>
    <row r="140" spans="1:8" s="3" customFormat="1" ht="18.75" customHeight="1">
      <c r="A140" s="18"/>
      <c r="B140" s="208" t="s">
        <v>269</v>
      </c>
      <c r="C140" s="208" t="s">
        <v>270</v>
      </c>
      <c r="D140" s="208" t="s">
        <v>271</v>
      </c>
      <c r="E140" s="208" t="s">
        <v>272</v>
      </c>
      <c r="F140" s="208" t="s">
        <v>273</v>
      </c>
      <c r="G140" s="51"/>
      <c r="H140" s="18"/>
    </row>
    <row r="141" spans="1:8" s="3" customFormat="1" ht="18.75" customHeight="1">
      <c r="A141" s="18"/>
      <c r="B141" s="209">
        <v>16</v>
      </c>
      <c r="C141" s="209" t="s">
        <v>274</v>
      </c>
      <c r="D141" s="209" t="s">
        <v>275</v>
      </c>
      <c r="E141" s="209" t="s">
        <v>276</v>
      </c>
      <c r="F141" s="209" t="s">
        <v>277</v>
      </c>
      <c r="G141" s="51"/>
      <c r="H141" s="18"/>
    </row>
    <row r="142" spans="1:8" s="3" customFormat="1" ht="18.75" customHeight="1">
      <c r="A142" s="18"/>
      <c r="B142" s="209">
        <v>18</v>
      </c>
      <c r="C142" s="209" t="s">
        <v>278</v>
      </c>
      <c r="D142" s="209" t="s">
        <v>279</v>
      </c>
      <c r="E142" s="209" t="s">
        <v>280</v>
      </c>
      <c r="F142" s="209" t="s">
        <v>281</v>
      </c>
      <c r="G142" s="51"/>
      <c r="H142" s="18"/>
    </row>
    <row r="143" spans="1:8" s="3" customFormat="1" ht="18.75" customHeight="1">
      <c r="A143" s="18"/>
      <c r="B143" s="209">
        <v>20</v>
      </c>
      <c r="C143" s="209" t="s">
        <v>282</v>
      </c>
      <c r="D143" s="209" t="s">
        <v>283</v>
      </c>
      <c r="E143" s="209">
        <v>10</v>
      </c>
      <c r="F143" s="209" t="s">
        <v>284</v>
      </c>
      <c r="G143" s="51"/>
      <c r="H143" s="18"/>
    </row>
    <row r="144" spans="1:8" s="3" customFormat="1" ht="18.75" customHeight="1">
      <c r="A144" s="18"/>
      <c r="B144" s="209">
        <v>25</v>
      </c>
      <c r="C144" s="209" t="s">
        <v>285</v>
      </c>
      <c r="D144" s="209" t="s">
        <v>286</v>
      </c>
      <c r="E144" s="209" t="s">
        <v>287</v>
      </c>
      <c r="F144" s="209" t="s">
        <v>288</v>
      </c>
      <c r="G144" s="51"/>
      <c r="H144" s="18"/>
    </row>
    <row r="145" spans="1:8" s="3" customFormat="1" ht="18.75" customHeight="1">
      <c r="A145" s="18"/>
      <c r="B145" s="209">
        <v>30</v>
      </c>
      <c r="C145" s="209" t="s">
        <v>288</v>
      </c>
      <c r="D145" s="209" t="s">
        <v>289</v>
      </c>
      <c r="E145" s="209" t="s">
        <v>290</v>
      </c>
      <c r="F145" s="209" t="s">
        <v>291</v>
      </c>
      <c r="G145" s="51"/>
      <c r="H145" s="18"/>
    </row>
    <row r="146" spans="1:8" s="3" customFormat="1" ht="18.75" customHeight="1">
      <c r="A146" s="18"/>
      <c r="B146" s="209">
        <v>35</v>
      </c>
      <c r="C146" s="209" t="s">
        <v>292</v>
      </c>
      <c r="D146" s="209" t="s">
        <v>293</v>
      </c>
      <c r="E146" s="209" t="s">
        <v>294</v>
      </c>
      <c r="F146" s="209" t="s">
        <v>295</v>
      </c>
      <c r="G146" s="51"/>
      <c r="H146" s="18"/>
    </row>
    <row r="147" spans="1:8" s="3" customFormat="1" ht="18.75" customHeight="1">
      <c r="A147" s="18"/>
      <c r="B147" s="209">
        <v>40</v>
      </c>
      <c r="C147" s="209" t="s">
        <v>296</v>
      </c>
      <c r="D147" s="209" t="s">
        <v>297</v>
      </c>
      <c r="E147" s="209" t="s">
        <v>298</v>
      </c>
      <c r="F147" s="209" t="s">
        <v>299</v>
      </c>
      <c r="G147" s="51"/>
      <c r="H147" s="18"/>
    </row>
    <row r="148" spans="1:8" s="3" customFormat="1" ht="18.75" customHeight="1">
      <c r="A148" s="18"/>
      <c r="B148" s="209">
        <v>45</v>
      </c>
      <c r="C148" s="209" t="s">
        <v>300</v>
      </c>
      <c r="D148" s="209" t="s">
        <v>301</v>
      </c>
      <c r="E148" s="209" t="s">
        <v>302</v>
      </c>
      <c r="F148" s="209" t="s">
        <v>303</v>
      </c>
      <c r="G148" s="51"/>
      <c r="H148" s="18"/>
    </row>
    <row r="149" spans="1:8" s="3" customFormat="1" ht="18.75" customHeight="1">
      <c r="A149" s="18"/>
      <c r="B149" s="209">
        <v>50</v>
      </c>
      <c r="C149" s="209" t="s">
        <v>304</v>
      </c>
      <c r="D149" s="209" t="s">
        <v>305</v>
      </c>
      <c r="E149" s="209">
        <v>22</v>
      </c>
      <c r="F149" s="209" t="s">
        <v>306</v>
      </c>
      <c r="G149" s="51"/>
      <c r="H149" s="18"/>
    </row>
    <row r="150" spans="1:8" s="3" customFormat="1" ht="18.75" customHeight="1">
      <c r="A150" s="18"/>
      <c r="B150" s="209">
        <v>55</v>
      </c>
      <c r="C150" s="209" t="s">
        <v>307</v>
      </c>
      <c r="D150" s="209" t="s">
        <v>308</v>
      </c>
      <c r="E150" s="209" t="s">
        <v>309</v>
      </c>
      <c r="F150" s="209" t="s">
        <v>310</v>
      </c>
      <c r="G150" s="51"/>
      <c r="H150" s="18"/>
    </row>
    <row r="151" spans="1:8" s="3" customFormat="1" ht="18.75" customHeight="1">
      <c r="A151" s="18"/>
      <c r="B151" s="209">
        <v>60</v>
      </c>
      <c r="C151" s="209" t="s">
        <v>311</v>
      </c>
      <c r="D151" s="209" t="s">
        <v>312</v>
      </c>
      <c r="E151" s="210"/>
      <c r="F151" s="209" t="s">
        <v>313</v>
      </c>
      <c r="G151" s="51"/>
      <c r="H151" s="18"/>
    </row>
    <row r="152" spans="1:8" s="3" customFormat="1" ht="18.75" customHeight="1">
      <c r="A152" s="18"/>
      <c r="B152" s="209">
        <v>65</v>
      </c>
      <c r="C152" s="209" t="s">
        <v>314</v>
      </c>
      <c r="D152" s="209" t="s">
        <v>315</v>
      </c>
      <c r="E152" s="210"/>
      <c r="F152" s="209" t="s">
        <v>316</v>
      </c>
      <c r="G152" s="51"/>
      <c r="H152" s="18"/>
    </row>
    <row r="153" spans="1:8" s="3" customFormat="1" ht="18.75" customHeight="1">
      <c r="A153" s="18"/>
      <c r="B153" s="51"/>
      <c r="C153" s="51"/>
      <c r="D153" s="51"/>
      <c r="E153" s="51"/>
      <c r="F153" s="51"/>
      <c r="G153" s="51"/>
      <c r="H153" s="18"/>
    </row>
    <row r="154" spans="1:8" s="3" customFormat="1" ht="18.75" customHeight="1">
      <c r="A154" s="18"/>
      <c r="B154" s="30" t="s">
        <v>389</v>
      </c>
      <c r="C154" s="18"/>
      <c r="D154" s="18"/>
      <c r="E154" s="18"/>
      <c r="F154" s="207"/>
      <c r="G154" s="207"/>
      <c r="H154" s="18"/>
    </row>
    <row r="155" spans="1:8" s="3" customFormat="1" ht="18.75" customHeight="1">
      <c r="A155" s="18"/>
      <c r="B155" s="18" t="s">
        <v>390</v>
      </c>
      <c r="C155" s="18"/>
      <c r="D155" s="18"/>
      <c r="E155" s="18"/>
      <c r="F155" s="214">
        <f>'1. Datos de entrada'!F66</f>
        <v>0</v>
      </c>
      <c r="G155" s="206" t="s">
        <v>124</v>
      </c>
      <c r="H155" s="18"/>
    </row>
    <row r="156" spans="1:8" s="3" customFormat="1" ht="18.75" customHeight="1">
      <c r="A156" s="18"/>
      <c r="B156" s="18" t="s">
        <v>391</v>
      </c>
      <c r="C156" s="18"/>
      <c r="D156" s="18"/>
      <c r="E156" s="18"/>
      <c r="F156" s="214">
        <f>'1. Datos de entrada'!C66</f>
        <v>0</v>
      </c>
      <c r="G156" s="206" t="s">
        <v>383</v>
      </c>
      <c r="H156" s="18"/>
    </row>
    <row r="157" spans="1:8" s="3" customFormat="1" ht="18.75" customHeight="1">
      <c r="A157" s="18"/>
      <c r="B157" s="18" t="s">
        <v>392</v>
      </c>
      <c r="C157" s="18"/>
      <c r="D157" s="18"/>
      <c r="E157" s="18"/>
      <c r="F157" s="207"/>
      <c r="G157" s="207"/>
      <c r="H157" s="18"/>
    </row>
    <row r="158" spans="1:8" s="3" customFormat="1" ht="17.25" customHeight="1">
      <c r="A158" s="18"/>
      <c r="B158" s="18" t="s">
        <v>380</v>
      </c>
      <c r="C158" s="18"/>
      <c r="D158" s="18"/>
      <c r="E158" s="18"/>
      <c r="F158" s="215"/>
      <c r="G158" s="206" t="s">
        <v>124</v>
      </c>
      <c r="H158" s="18"/>
    </row>
    <row r="159" spans="1:8" s="3" customFormat="1" ht="12" customHeight="1">
      <c r="A159" s="18"/>
      <c r="B159" s="18"/>
      <c r="C159" s="18"/>
      <c r="D159" s="18"/>
      <c r="E159" s="18"/>
      <c r="F159" s="22"/>
      <c r="G159" s="206"/>
      <c r="H159" s="18"/>
    </row>
    <row r="160" spans="1:8" s="3" customFormat="1" ht="13.5" customHeight="1">
      <c r="A160" s="18"/>
      <c r="B160" s="205" t="s">
        <v>393</v>
      </c>
      <c r="C160" s="205"/>
      <c r="D160" s="205"/>
      <c r="E160" s="205"/>
      <c r="F160" s="217">
        <f>ABS(F158-F155)</f>
        <v>0</v>
      </c>
      <c r="G160" s="211" t="s">
        <v>124</v>
      </c>
      <c r="H160" s="18"/>
    </row>
    <row r="161" spans="1:8" s="3" customFormat="1" ht="8.25" customHeight="1">
      <c r="A161" s="18"/>
      <c r="B161" s="18"/>
      <c r="C161" s="18"/>
      <c r="D161" s="18"/>
      <c r="E161" s="18"/>
      <c r="F161" s="216"/>
      <c r="G161" s="206"/>
      <c r="H161" s="18"/>
    </row>
    <row r="162" spans="1:8" s="3" customFormat="1" ht="39.75" customHeight="1">
      <c r="A162" s="18"/>
      <c r="B162" s="292" t="s">
        <v>394</v>
      </c>
      <c r="C162" s="292"/>
      <c r="D162" s="292"/>
      <c r="E162" s="292"/>
      <c r="F162" s="292"/>
      <c r="G162" s="292"/>
      <c r="H162" s="18"/>
    </row>
    <row r="163" spans="1:8" s="3" customFormat="1" ht="18.75" customHeight="1">
      <c r="A163" s="18"/>
      <c r="B163" s="51"/>
      <c r="C163" s="51"/>
      <c r="D163" s="51"/>
      <c r="E163" s="51"/>
      <c r="F163" s="51"/>
      <c r="G163" s="51"/>
      <c r="H163" s="51"/>
    </row>
    <row r="164" spans="1:8" s="3" customFormat="1" ht="29.25" customHeight="1">
      <c r="A164" s="18"/>
      <c r="B164" s="208" t="s">
        <v>380</v>
      </c>
      <c r="C164" s="323" t="s">
        <v>381</v>
      </c>
      <c r="D164" s="323"/>
      <c r="E164" s="323"/>
      <c r="F164" s="323"/>
      <c r="G164" s="51"/>
      <c r="H164" s="51"/>
    </row>
    <row r="165" spans="1:8" s="3" customFormat="1" ht="18.75" customHeight="1">
      <c r="A165" s="18"/>
      <c r="B165" s="208" t="s">
        <v>269</v>
      </c>
      <c r="C165" s="208" t="s">
        <v>270</v>
      </c>
      <c r="D165" s="208" t="s">
        <v>271</v>
      </c>
      <c r="E165" s="208" t="s">
        <v>272</v>
      </c>
      <c r="F165" s="208" t="s">
        <v>273</v>
      </c>
      <c r="G165" s="51"/>
      <c r="H165" s="51"/>
    </row>
    <row r="166" spans="1:8" s="3" customFormat="1" ht="18.75" customHeight="1">
      <c r="A166" s="18"/>
      <c r="B166" s="209" t="s">
        <v>319</v>
      </c>
      <c r="C166" s="209" t="s">
        <v>320</v>
      </c>
      <c r="D166" s="209">
        <v>0.08</v>
      </c>
      <c r="E166" s="209" t="s">
        <v>321</v>
      </c>
      <c r="F166" s="209" t="s">
        <v>322</v>
      </c>
      <c r="G166" s="51"/>
      <c r="H166" s="51"/>
    </row>
    <row r="167" spans="1:8" s="3" customFormat="1" ht="18.75" customHeight="1">
      <c r="A167" s="18"/>
      <c r="B167" s="209" t="s">
        <v>323</v>
      </c>
      <c r="C167" s="209" t="s">
        <v>324</v>
      </c>
      <c r="D167" s="209" t="s">
        <v>325</v>
      </c>
      <c r="E167" s="209" t="s">
        <v>326</v>
      </c>
      <c r="F167" s="209" t="s">
        <v>327</v>
      </c>
      <c r="G167" s="51"/>
      <c r="H167" s="51"/>
    </row>
    <row r="168" spans="1:8" s="3" customFormat="1" ht="18.75" customHeight="1">
      <c r="A168" s="18"/>
      <c r="B168" s="209" t="s">
        <v>328</v>
      </c>
      <c r="C168" s="209" t="s">
        <v>329</v>
      </c>
      <c r="D168" s="209" t="s">
        <v>330</v>
      </c>
      <c r="E168" s="209" t="s">
        <v>331</v>
      </c>
      <c r="F168" s="209" t="s">
        <v>332</v>
      </c>
      <c r="G168" s="51"/>
      <c r="H168" s="51"/>
    </row>
    <row r="169" spans="1:8" s="3" customFormat="1" ht="18.75" customHeight="1">
      <c r="A169" s="18"/>
      <c r="B169" s="209" t="s">
        <v>333</v>
      </c>
      <c r="C169" s="209" t="s">
        <v>334</v>
      </c>
      <c r="D169" s="209" t="s">
        <v>335</v>
      </c>
      <c r="E169" s="209" t="s">
        <v>336</v>
      </c>
      <c r="F169" s="209" t="s">
        <v>337</v>
      </c>
      <c r="G169" s="51"/>
      <c r="H169" s="51"/>
    </row>
    <row r="170" spans="1:8" s="3" customFormat="1" ht="18.75" customHeight="1">
      <c r="A170" s="18"/>
      <c r="B170" s="209" t="s">
        <v>338</v>
      </c>
      <c r="C170" s="209" t="s">
        <v>326</v>
      </c>
      <c r="D170" s="209" t="s">
        <v>339</v>
      </c>
      <c r="E170" s="209" t="s">
        <v>340</v>
      </c>
      <c r="F170" s="209" t="s">
        <v>341</v>
      </c>
      <c r="G170" s="51"/>
      <c r="H170" s="51"/>
    </row>
    <row r="171" spans="1:8" s="3" customFormat="1" ht="18.75" customHeight="1">
      <c r="A171" s="18"/>
      <c r="B171" s="209" t="s">
        <v>342</v>
      </c>
      <c r="C171" s="209" t="s">
        <v>343</v>
      </c>
      <c r="D171" s="209" t="s">
        <v>344</v>
      </c>
      <c r="E171" s="209" t="s">
        <v>345</v>
      </c>
      <c r="F171" s="209" t="s">
        <v>346</v>
      </c>
      <c r="G171" s="51"/>
      <c r="H171" s="51"/>
    </row>
    <row r="172" spans="1:8" s="3" customFormat="1" ht="18.75" customHeight="1">
      <c r="A172" s="18"/>
      <c r="B172" s="209" t="s">
        <v>347</v>
      </c>
      <c r="C172" s="209" t="s">
        <v>348</v>
      </c>
      <c r="D172" s="209" t="s">
        <v>349</v>
      </c>
      <c r="E172" s="209" t="s">
        <v>350</v>
      </c>
      <c r="F172" s="209" t="s">
        <v>351</v>
      </c>
      <c r="G172" s="51"/>
      <c r="H172" s="51"/>
    </row>
    <row r="173" spans="1:8" s="3" customFormat="1" ht="18.75" customHeight="1">
      <c r="A173" s="18"/>
      <c r="B173" s="209" t="s">
        <v>352</v>
      </c>
      <c r="C173" s="209" t="s">
        <v>353</v>
      </c>
      <c r="D173" s="209" t="s">
        <v>354</v>
      </c>
      <c r="E173" s="209" t="s">
        <v>355</v>
      </c>
      <c r="F173" s="209" t="s">
        <v>356</v>
      </c>
      <c r="G173" s="51"/>
      <c r="H173" s="51"/>
    </row>
    <row r="174" spans="1:8" s="3" customFormat="1" ht="18.75" customHeight="1">
      <c r="A174" s="18"/>
      <c r="B174" s="209" t="s">
        <v>357</v>
      </c>
      <c r="C174" s="209" t="s">
        <v>351</v>
      </c>
      <c r="D174" s="209" t="s">
        <v>358</v>
      </c>
      <c r="E174" s="209" t="s">
        <v>275</v>
      </c>
      <c r="F174" s="209" t="s">
        <v>359</v>
      </c>
      <c r="G174" s="51"/>
      <c r="H174" s="51"/>
    </row>
    <row r="175" spans="1:8" s="3" customFormat="1" ht="18.75" customHeight="1">
      <c r="A175" s="18"/>
      <c r="B175" s="209" t="s">
        <v>360</v>
      </c>
      <c r="C175" s="209" t="s">
        <v>361</v>
      </c>
      <c r="D175" s="209" t="s">
        <v>362</v>
      </c>
      <c r="E175" s="209" t="s">
        <v>363</v>
      </c>
      <c r="F175" s="209" t="s">
        <v>364</v>
      </c>
      <c r="G175" s="51"/>
      <c r="H175" s="51"/>
    </row>
    <row r="176" spans="1:8" s="3" customFormat="1" ht="18.75" customHeight="1">
      <c r="A176" s="18"/>
      <c r="B176" s="209" t="s">
        <v>365</v>
      </c>
      <c r="C176" s="209" t="s">
        <v>366</v>
      </c>
      <c r="D176" s="209" t="s">
        <v>367</v>
      </c>
      <c r="E176" s="209" t="s">
        <v>368</v>
      </c>
      <c r="F176" s="209" t="s">
        <v>369</v>
      </c>
      <c r="G176" s="51"/>
      <c r="H176" s="51"/>
    </row>
    <row r="177" spans="1:8" s="3" customFormat="1" ht="18.75" customHeight="1">
      <c r="A177" s="18"/>
      <c r="B177" s="209">
        <v>0</v>
      </c>
      <c r="C177" s="209" t="s">
        <v>370</v>
      </c>
      <c r="D177" s="209" t="s">
        <v>371</v>
      </c>
      <c r="E177" s="209" t="s">
        <v>372</v>
      </c>
      <c r="F177" s="209" t="s">
        <v>283</v>
      </c>
      <c r="G177" s="51"/>
      <c r="H177" s="51"/>
    </row>
    <row r="178" spans="1:8" s="3" customFormat="1" ht="18.75" customHeight="1">
      <c r="A178" s="18"/>
      <c r="B178" s="209">
        <v>2</v>
      </c>
      <c r="C178" s="209" t="s">
        <v>373</v>
      </c>
      <c r="D178" s="209" t="s">
        <v>374</v>
      </c>
      <c r="E178" s="209" t="s">
        <v>375</v>
      </c>
      <c r="F178" s="209" t="s">
        <v>376</v>
      </c>
      <c r="G178" s="51"/>
      <c r="H178" s="51"/>
    </row>
    <row r="179" spans="1:8" s="3" customFormat="1" ht="18.75" customHeight="1">
      <c r="A179" s="18"/>
      <c r="B179" s="209">
        <v>4</v>
      </c>
      <c r="C179" s="209" t="s">
        <v>368</v>
      </c>
      <c r="D179" s="209" t="s">
        <v>377</v>
      </c>
      <c r="E179" s="209" t="s">
        <v>378</v>
      </c>
      <c r="F179" s="209" t="s">
        <v>379</v>
      </c>
      <c r="G179" s="51"/>
      <c r="H179" s="51"/>
    </row>
    <row r="180" spans="1:8" s="3" customFormat="1" ht="18.75" customHeight="1">
      <c r="A180" s="18"/>
      <c r="B180" s="51"/>
      <c r="C180" s="51"/>
      <c r="D180" s="51"/>
      <c r="E180" s="51"/>
      <c r="F180" s="51"/>
      <c r="G180" s="51"/>
      <c r="H180" s="51"/>
    </row>
    <row r="181" spans="1:8" s="3" customFormat="1">
      <c r="A181" s="18"/>
      <c r="B181" s="18"/>
      <c r="C181" s="18"/>
      <c r="D181" s="18"/>
      <c r="E181" s="18"/>
      <c r="F181" s="207"/>
      <c r="G181" s="207"/>
      <c r="H181" s="18"/>
    </row>
    <row r="182" spans="1:8">
      <c r="A182" s="318" t="s">
        <v>261</v>
      </c>
      <c r="B182" s="318"/>
      <c r="C182" s="318"/>
      <c r="D182" s="318"/>
      <c r="E182" s="318"/>
      <c r="F182" s="318"/>
      <c r="G182" s="318"/>
      <c r="H182" s="318"/>
    </row>
    <row r="183" spans="1:8">
      <c r="A183" s="18"/>
      <c r="B183" s="18"/>
      <c r="C183" s="18"/>
      <c r="D183" s="18"/>
      <c r="E183" s="18"/>
      <c r="F183" s="18"/>
      <c r="G183" s="18"/>
      <c r="H183" s="18"/>
    </row>
    <row r="184" spans="1:8">
      <c r="A184" s="18"/>
      <c r="B184" s="18" t="s">
        <v>240</v>
      </c>
      <c r="C184" s="18"/>
      <c r="D184" s="18"/>
      <c r="E184" s="18"/>
      <c r="F184" s="18"/>
      <c r="G184" s="18"/>
      <c r="H184" s="18"/>
    </row>
    <row r="185" spans="1:8" ht="29.25" customHeight="1">
      <c r="A185" s="18"/>
      <c r="B185" s="18"/>
      <c r="C185" s="322" t="str">
        <f>IF('1. Datos de entrada'!G122="","",IF('1. Datos de entrada'!G126="","No es posible recuperar el calor residual por falta de simultaneidad de las necesidades","Evaluar con un especialista la recuperación de calor"))</f>
        <v/>
      </c>
      <c r="D185" s="322"/>
      <c r="E185" s="322"/>
      <c r="F185" s="322"/>
      <c r="G185" s="322"/>
      <c r="H185" s="322"/>
    </row>
    <row r="186" spans="1:8">
      <c r="A186" s="18"/>
      <c r="B186" s="18"/>
      <c r="C186" s="18"/>
      <c r="D186" s="18"/>
      <c r="E186" s="18"/>
      <c r="F186" s="18"/>
      <c r="G186" s="18"/>
      <c r="H186" s="18"/>
    </row>
    <row r="187" spans="1:8">
      <c r="A187" s="18"/>
      <c r="B187" s="18"/>
      <c r="C187" s="18"/>
      <c r="D187" s="18"/>
      <c r="E187" s="18"/>
      <c r="F187" s="18"/>
      <c r="G187" s="18"/>
      <c r="H187" s="18"/>
    </row>
    <row r="188" spans="1:8">
      <c r="A188" s="318" t="s">
        <v>267</v>
      </c>
      <c r="B188" s="318"/>
      <c r="C188" s="318"/>
      <c r="D188" s="318"/>
      <c r="E188" s="318"/>
      <c r="F188" s="318"/>
      <c r="G188" s="318"/>
      <c r="H188" s="318"/>
    </row>
    <row r="189" spans="1:8">
      <c r="A189" s="18"/>
      <c r="B189" s="18"/>
      <c r="C189" s="18"/>
      <c r="D189" s="18"/>
      <c r="E189" s="18"/>
      <c r="F189" s="18"/>
      <c r="G189" s="18"/>
      <c r="H189" s="18"/>
    </row>
    <row r="190" spans="1:8" s="3" customFormat="1">
      <c r="A190" s="18"/>
      <c r="B190" s="30" t="s">
        <v>395</v>
      </c>
      <c r="C190" s="18"/>
      <c r="D190" s="18"/>
      <c r="E190" s="18"/>
      <c r="F190" s="18"/>
      <c r="G190" s="18"/>
      <c r="H190" s="18"/>
    </row>
    <row r="191" spans="1:8" s="3" customFormat="1">
      <c r="A191" s="18"/>
      <c r="B191" s="18" t="s">
        <v>240</v>
      </c>
      <c r="C191" s="18"/>
      <c r="D191" s="18"/>
      <c r="E191" s="18"/>
      <c r="F191" s="18"/>
      <c r="G191" s="18"/>
      <c r="H191" s="18"/>
    </row>
    <row r="192" spans="1:8" s="3" customFormat="1">
      <c r="A192" s="18"/>
      <c r="B192" s="18" t="s">
        <v>399</v>
      </c>
      <c r="C192" s="322" t="str">
        <f>IF('1. Datos de entrada'!I40="","","Recomendar el aislamiento de las tuberias")</f>
        <v/>
      </c>
      <c r="D192" s="322"/>
      <c r="E192" s="322"/>
      <c r="F192" s="322"/>
      <c r="G192" s="322"/>
      <c r="H192" s="322"/>
    </row>
    <row r="193" spans="1:8" s="3" customFormat="1">
      <c r="A193" s="18"/>
      <c r="B193" s="18" t="s">
        <v>400</v>
      </c>
      <c r="C193" s="322" t="str">
        <f>IF('1. Datos de entrada'!I34="","","Recomendar rellenar el sistema con refrigerante")</f>
        <v/>
      </c>
      <c r="D193" s="322"/>
      <c r="E193" s="322"/>
      <c r="F193" s="322"/>
      <c r="G193" s="322"/>
      <c r="H193" s="322"/>
    </row>
    <row r="194" spans="1:8" s="3" customFormat="1">
      <c r="A194" s="18"/>
      <c r="B194" s="18" t="s">
        <v>401</v>
      </c>
      <c r="C194" s="322" t="str">
        <f>IF('1. Datos de entrada'!I42="","","Recomendar establecer un programa de mantenimiento preventivo para los equipos de refrigeración")</f>
        <v/>
      </c>
      <c r="D194" s="322"/>
      <c r="E194" s="322"/>
      <c r="F194" s="322"/>
      <c r="G194" s="322"/>
      <c r="H194" s="322"/>
    </row>
    <row r="195" spans="1:8" s="3" customFormat="1">
      <c r="A195" s="18"/>
      <c r="B195" s="18"/>
      <c r="C195" s="18"/>
      <c r="D195" s="18"/>
      <c r="E195" s="18"/>
      <c r="F195" s="18"/>
      <c r="G195" s="18"/>
      <c r="H195" s="18"/>
    </row>
    <row r="196" spans="1:8" s="3" customFormat="1">
      <c r="A196" s="18"/>
      <c r="B196" s="24" t="s">
        <v>396</v>
      </c>
      <c r="C196" s="18"/>
      <c r="D196" s="18"/>
      <c r="E196" s="18"/>
      <c r="F196" s="18"/>
      <c r="G196" s="18"/>
      <c r="H196" s="18"/>
    </row>
    <row r="197" spans="1:8" s="3" customFormat="1">
      <c r="A197" s="18"/>
      <c r="B197" s="18" t="s">
        <v>317</v>
      </c>
      <c r="C197" s="18"/>
      <c r="D197" s="18"/>
      <c r="E197" s="18"/>
      <c r="F197" s="203">
        <f>F132</f>
        <v>0</v>
      </c>
      <c r="G197" s="18" t="s">
        <v>124</v>
      </c>
      <c r="H197" s="18"/>
    </row>
    <row r="198" spans="1:8" s="3" customFormat="1" ht="6.75" customHeight="1">
      <c r="A198" s="18"/>
      <c r="B198" s="18"/>
      <c r="C198" s="18"/>
      <c r="D198" s="18"/>
      <c r="E198" s="18"/>
      <c r="F198" s="50"/>
      <c r="G198" s="18"/>
      <c r="H198" s="18"/>
    </row>
    <row r="199" spans="1:8" s="3" customFormat="1">
      <c r="A199" s="18"/>
      <c r="B199" s="18" t="s">
        <v>402</v>
      </c>
      <c r="C199" s="18"/>
      <c r="D199" s="18"/>
      <c r="E199" s="18"/>
      <c r="F199" s="218">
        <f>'1. Datos de entrada'!G90</f>
        <v>0</v>
      </c>
      <c r="G199" s="18" t="s">
        <v>124</v>
      </c>
      <c r="H199" s="18"/>
    </row>
    <row r="200" spans="1:8" s="3" customFormat="1">
      <c r="A200" s="18"/>
      <c r="C200" s="188" t="str">
        <f>IF(ABS(F199-F197)&gt;15,"Incrustación del condensador, requiere mantenimiento","El nivel de incrustación no es significativo")</f>
        <v>El nivel de incrustación no es significativo</v>
      </c>
      <c r="D200" s="18"/>
      <c r="E200" s="18"/>
      <c r="F200" s="18"/>
      <c r="G200" s="18"/>
      <c r="H200" s="18"/>
    </row>
    <row r="201" spans="1:8" s="3" customFormat="1">
      <c r="A201" s="18"/>
      <c r="B201" s="18"/>
      <c r="C201" s="18"/>
      <c r="D201" s="18"/>
      <c r="E201" s="18"/>
      <c r="F201" s="18"/>
      <c r="G201" s="18"/>
      <c r="H201" s="18"/>
    </row>
    <row r="202" spans="1:8" s="3" customFormat="1">
      <c r="A202" s="18"/>
      <c r="B202" s="30" t="s">
        <v>397</v>
      </c>
      <c r="C202" s="18"/>
      <c r="D202" s="18"/>
      <c r="E202" s="18"/>
      <c r="F202" s="18"/>
      <c r="G202" s="18"/>
      <c r="H202" s="18"/>
    </row>
    <row r="203" spans="1:8" s="3" customFormat="1">
      <c r="A203" s="18"/>
      <c r="B203" s="18" t="s">
        <v>240</v>
      </c>
      <c r="C203" s="18"/>
      <c r="D203" s="18"/>
      <c r="E203" s="18"/>
      <c r="F203" s="18"/>
      <c r="G203" s="18"/>
      <c r="H203" s="18"/>
    </row>
    <row r="204" spans="1:8" s="3" customFormat="1">
      <c r="A204" s="18"/>
      <c r="B204" s="18" t="s">
        <v>404</v>
      </c>
      <c r="C204" s="188" t="str">
        <f>IF('1. Datos de entrada'!C112="","",IF('1. Datos de entrada'!I114="","ok","Recomendar tratamiento de agua del condensador"))</f>
        <v/>
      </c>
      <c r="D204" s="18"/>
      <c r="E204" s="18"/>
      <c r="F204" s="18"/>
      <c r="G204" s="18"/>
      <c r="H204" s="18"/>
    </row>
    <row r="205" spans="1:8" s="3" customFormat="1">
      <c r="A205" s="18"/>
      <c r="B205" s="18"/>
      <c r="C205" s="18"/>
      <c r="D205" s="18"/>
      <c r="E205" s="18"/>
      <c r="F205" s="18"/>
      <c r="G205" s="18"/>
      <c r="H205" s="18"/>
    </row>
    <row r="206" spans="1:8" s="3" customFormat="1">
      <c r="A206" s="18"/>
      <c r="B206" s="30" t="s">
        <v>398</v>
      </c>
      <c r="C206" s="18"/>
      <c r="D206" s="18"/>
      <c r="E206" s="18"/>
      <c r="F206" s="18"/>
      <c r="G206" s="18"/>
      <c r="H206" s="18"/>
    </row>
    <row r="207" spans="1:8" s="3" customFormat="1">
      <c r="A207" s="18"/>
      <c r="B207" s="18" t="s">
        <v>380</v>
      </c>
      <c r="C207" s="18"/>
      <c r="D207" s="18"/>
      <c r="E207" s="18"/>
      <c r="F207" s="203">
        <f>F158</f>
        <v>0</v>
      </c>
      <c r="G207" s="18" t="s">
        <v>124</v>
      </c>
      <c r="H207" s="18"/>
    </row>
    <row r="208" spans="1:8" s="3" customFormat="1" ht="4.5" customHeight="1">
      <c r="A208" s="18"/>
      <c r="B208" s="18"/>
      <c r="C208" s="18"/>
      <c r="D208" s="18"/>
      <c r="E208" s="18"/>
      <c r="F208" s="50"/>
      <c r="G208" s="18"/>
      <c r="H208" s="18"/>
    </row>
    <row r="209" spans="1:9" s="3" customFormat="1">
      <c r="A209" s="18"/>
      <c r="B209" s="18" t="s">
        <v>402</v>
      </c>
      <c r="C209" s="18"/>
      <c r="D209" s="18"/>
      <c r="E209" s="18"/>
      <c r="F209" s="218">
        <f>'1. Datos de entrada'!G130</f>
        <v>0</v>
      </c>
      <c r="G209" s="18" t="s">
        <v>124</v>
      </c>
      <c r="H209" s="18"/>
    </row>
    <row r="210" spans="1:9">
      <c r="A210" s="18"/>
      <c r="C210" s="188" t="str">
        <f>IF(ABS(F209-F207)&gt;10,"Incrustación del evaporador o presencia de hielo","El nivel de incrustación no es significativo")</f>
        <v>El nivel de incrustación no es significativo</v>
      </c>
      <c r="D210" s="18"/>
      <c r="E210" s="18"/>
      <c r="F210" s="18"/>
      <c r="G210" s="18"/>
      <c r="H210" s="18"/>
    </row>
    <row r="211" spans="1:9">
      <c r="A211" s="18"/>
      <c r="B211" s="18"/>
      <c r="C211" s="18"/>
      <c r="D211" s="18"/>
      <c r="E211" s="18"/>
      <c r="F211" s="18"/>
      <c r="G211" s="18"/>
      <c r="H211" s="18"/>
    </row>
    <row r="212" spans="1:9">
      <c r="A212" s="18"/>
      <c r="B212" s="18"/>
      <c r="C212" s="18"/>
      <c r="D212" s="18"/>
      <c r="E212" s="18"/>
      <c r="F212" s="18"/>
      <c r="G212" s="18"/>
      <c r="H212" s="18"/>
    </row>
    <row r="213" spans="1:9">
      <c r="A213" s="318" t="s">
        <v>406</v>
      </c>
      <c r="B213" s="318"/>
      <c r="C213" s="318"/>
      <c r="D213" s="318"/>
      <c r="E213" s="318"/>
      <c r="F213" s="318"/>
      <c r="G213" s="318"/>
      <c r="H213" s="318"/>
    </row>
    <row r="214" spans="1:9">
      <c r="A214" s="18"/>
      <c r="B214" s="18"/>
      <c r="C214" s="18"/>
      <c r="D214" s="18"/>
      <c r="E214" s="18"/>
      <c r="F214" s="18"/>
      <c r="G214" s="18"/>
      <c r="H214" s="18"/>
    </row>
    <row r="215" spans="1:9" s="3" customFormat="1">
      <c r="A215" s="18"/>
      <c r="B215" s="79" t="s">
        <v>155</v>
      </c>
      <c r="C215" s="65"/>
      <c r="D215" s="76"/>
      <c r="E215" s="76"/>
      <c r="F215" s="87">
        <v>0</v>
      </c>
      <c r="G215" s="62" t="s">
        <v>156</v>
      </c>
      <c r="I215" s="94"/>
    </row>
    <row r="216" spans="1:9" s="3" customFormat="1" ht="24" customHeight="1">
      <c r="A216" s="18"/>
      <c r="B216" s="314" t="s">
        <v>497</v>
      </c>
      <c r="C216" s="314"/>
      <c r="D216" s="314"/>
      <c r="E216" s="314"/>
      <c r="F216" s="314"/>
      <c r="G216" s="314"/>
      <c r="H216" s="314"/>
      <c r="I216" s="99"/>
    </row>
    <row r="217" spans="1:9" s="3" customFormat="1" ht="11.25" customHeight="1">
      <c r="A217" s="18"/>
      <c r="B217" s="97"/>
      <c r="C217" s="71"/>
      <c r="D217" s="100"/>
      <c r="E217" s="100"/>
      <c r="F217" s="101"/>
      <c r="G217" s="99"/>
      <c r="H217" s="62"/>
      <c r="I217" s="99"/>
    </row>
    <row r="218" spans="1:9" s="3" customFormat="1" ht="22.5" customHeight="1">
      <c r="A218" s="18"/>
      <c r="B218" s="326" t="s">
        <v>181</v>
      </c>
      <c r="C218" s="326"/>
      <c r="D218" s="326"/>
      <c r="E218" s="326"/>
      <c r="F218" s="104">
        <v>0.499</v>
      </c>
      <c r="G218" s="104" t="s">
        <v>416</v>
      </c>
    </row>
    <row r="219" spans="1:9" s="3" customFormat="1">
      <c r="A219" s="18"/>
      <c r="B219" s="327" t="s">
        <v>183</v>
      </c>
      <c r="C219" s="326"/>
      <c r="D219" s="326"/>
      <c r="E219" s="326"/>
      <c r="F219" s="104"/>
      <c r="G219" s="104"/>
      <c r="H219" s="104"/>
    </row>
    <row r="220" spans="1:9" s="3" customFormat="1">
      <c r="A220" s="18"/>
      <c r="B220" s="113"/>
      <c r="C220" s="107"/>
      <c r="D220" s="107"/>
      <c r="E220" s="107"/>
      <c r="F220" s="104"/>
      <c r="G220" s="104"/>
      <c r="H220" s="104"/>
    </row>
    <row r="221" spans="1:9" s="3" customFormat="1">
      <c r="A221" s="18"/>
      <c r="B221" s="205" t="s">
        <v>408</v>
      </c>
      <c r="C221" s="18"/>
      <c r="D221" s="18"/>
      <c r="E221" s="18"/>
      <c r="F221" s="18"/>
      <c r="G221" s="18"/>
      <c r="H221" s="18"/>
    </row>
    <row r="222" spans="1:9" s="3" customFormat="1">
      <c r="A222" s="18"/>
      <c r="B222" s="18"/>
      <c r="C222" s="18"/>
      <c r="D222" s="18"/>
      <c r="E222" s="18"/>
      <c r="F222" s="18"/>
      <c r="G222" s="18"/>
      <c r="H222" s="18"/>
    </row>
    <row r="223" spans="1:9" s="3" customFormat="1">
      <c r="A223" s="18"/>
      <c r="B223" s="18" t="s">
        <v>422</v>
      </c>
      <c r="C223" s="18"/>
      <c r="D223" s="1"/>
      <c r="E223" s="204"/>
      <c r="F223" s="18" t="s">
        <v>409</v>
      </c>
      <c r="G223" s="18"/>
      <c r="H223" s="18"/>
    </row>
    <row r="224" spans="1:9" s="3" customFormat="1" ht="6.75" customHeight="1">
      <c r="A224" s="18"/>
      <c r="B224" s="18"/>
      <c r="C224" s="18"/>
      <c r="D224" s="1"/>
      <c r="E224" s="22"/>
      <c r="F224" s="18"/>
      <c r="G224" s="18"/>
      <c r="H224" s="18"/>
    </row>
    <row r="225" spans="1:8" s="3" customFormat="1">
      <c r="A225" s="18"/>
      <c r="B225" s="18" t="s">
        <v>423</v>
      </c>
      <c r="C225" s="18"/>
      <c r="D225" s="1"/>
      <c r="E225" s="204"/>
      <c r="F225" s="18" t="s">
        <v>409</v>
      </c>
      <c r="G225" s="18"/>
      <c r="H225" s="18"/>
    </row>
    <row r="226" spans="1:8" s="3" customFormat="1" ht="6.75" customHeight="1">
      <c r="A226" s="18"/>
      <c r="B226" s="18"/>
      <c r="C226" s="18"/>
      <c r="D226" s="1"/>
      <c r="E226" s="22"/>
      <c r="F226" s="18"/>
      <c r="G226" s="18"/>
      <c r="H226" s="18"/>
    </row>
    <row r="227" spans="1:8" s="3" customFormat="1">
      <c r="A227" s="18"/>
      <c r="B227" s="18" t="s">
        <v>419</v>
      </c>
      <c r="C227" s="18"/>
      <c r="D227" s="1"/>
      <c r="E227" s="204"/>
      <c r="F227" s="18" t="s">
        <v>410</v>
      </c>
      <c r="G227" s="18"/>
      <c r="H227" s="18"/>
    </row>
    <row r="228" spans="1:8" s="3" customFormat="1">
      <c r="A228" s="18"/>
      <c r="B228" s="213" t="s">
        <v>411</v>
      </c>
      <c r="C228" s="18"/>
      <c r="D228" s="18"/>
      <c r="E228" s="18"/>
      <c r="F228" s="18"/>
      <c r="G228" s="18"/>
      <c r="H228" s="18"/>
    </row>
    <row r="229" spans="1:8" s="3" customFormat="1" ht="18" customHeight="1">
      <c r="A229" s="18"/>
      <c r="B229" s="212" t="s">
        <v>421</v>
      </c>
      <c r="C229" s="18"/>
      <c r="D229" s="1"/>
      <c r="E229" s="204"/>
      <c r="F229" s="18" t="s">
        <v>420</v>
      </c>
      <c r="G229" s="18"/>
      <c r="H229" s="18"/>
    </row>
    <row r="230" spans="1:8" s="3" customFormat="1">
      <c r="A230" s="18"/>
      <c r="B230" s="18"/>
      <c r="C230" s="18"/>
      <c r="D230" s="18"/>
      <c r="E230" s="18"/>
      <c r="F230" s="18"/>
      <c r="G230" s="18"/>
      <c r="H230" s="18"/>
    </row>
    <row r="231" spans="1:8" ht="63">
      <c r="A231" s="18"/>
      <c r="B231" s="329" t="s">
        <v>405</v>
      </c>
      <c r="C231" s="329"/>
      <c r="D231" s="219" t="s">
        <v>415</v>
      </c>
      <c r="E231" s="219" t="s">
        <v>412</v>
      </c>
      <c r="F231" s="219" t="s">
        <v>413</v>
      </c>
      <c r="G231" s="219" t="s">
        <v>414</v>
      </c>
      <c r="H231" s="18"/>
    </row>
    <row r="232" spans="1:8" ht="24.75" customHeight="1">
      <c r="A232" s="18"/>
      <c r="B232" s="330" t="s">
        <v>193</v>
      </c>
      <c r="C232" s="330"/>
      <c r="D232" s="220" t="s">
        <v>407</v>
      </c>
      <c r="E232" s="221" t="str">
        <f>IF(D232="si",E10,0)</f>
        <v>-</v>
      </c>
      <c r="F232" s="222" t="str">
        <f>IF(D232="si",'3. MAE mejora aislamiento'!G78,0)</f>
        <v>-</v>
      </c>
      <c r="G232" s="221" t="str">
        <f>IF(D232="si",'3. MAE mejora aislamiento'!G85,0)</f>
        <v>-</v>
      </c>
      <c r="H232" s="18"/>
    </row>
    <row r="233" spans="1:8" ht="29.25" customHeight="1">
      <c r="A233" s="18"/>
      <c r="B233" s="324" t="s">
        <v>417</v>
      </c>
      <c r="C233" s="325"/>
      <c r="D233" s="220" t="s">
        <v>407</v>
      </c>
      <c r="E233" s="286">
        <f>IF(D233="si",E49)</f>
        <v>0</v>
      </c>
      <c r="F233" s="287"/>
      <c r="G233" s="286"/>
      <c r="H233" s="18"/>
    </row>
    <row r="234" spans="1:8" ht="23.25" customHeight="1">
      <c r="A234" s="18"/>
      <c r="B234" s="331" t="s">
        <v>418</v>
      </c>
      <c r="C234" s="332"/>
      <c r="D234" s="220" t="s">
        <v>407</v>
      </c>
      <c r="E234" s="286">
        <f>IF(D234="si",$E$227*$E$229*10%,0)</f>
        <v>0</v>
      </c>
      <c r="F234" s="286">
        <f>IF(D234="si",E234*F215,0)</f>
        <v>0</v>
      </c>
      <c r="G234" s="286">
        <f>IF(D234="Si",E234*F218,0)</f>
        <v>0</v>
      </c>
      <c r="H234" s="18"/>
    </row>
    <row r="235" spans="1:8" ht="33" customHeight="1">
      <c r="A235" s="18"/>
      <c r="B235" s="324" t="s">
        <v>424</v>
      </c>
      <c r="C235" s="325"/>
      <c r="D235" s="220" t="s">
        <v>407</v>
      </c>
      <c r="E235" s="286">
        <f>IF(D235="si",E225*$E$229*5%,0)</f>
        <v>0</v>
      </c>
      <c r="F235" s="286">
        <f>IF(D235="si",E235*$F$215,0)</f>
        <v>0</v>
      </c>
      <c r="G235" s="286">
        <f>IF(D235="Si",E235*$F$218,0)</f>
        <v>0</v>
      </c>
      <c r="H235" s="18"/>
    </row>
    <row r="236" spans="1:8" ht="33.75" customHeight="1">
      <c r="A236" s="18"/>
      <c r="B236" s="324" t="s">
        <v>425</v>
      </c>
      <c r="C236" s="325"/>
      <c r="D236" s="220" t="s">
        <v>407</v>
      </c>
      <c r="E236" s="286">
        <f>IF(D236="si",E223*$E$229*5%,0)</f>
        <v>0</v>
      </c>
      <c r="F236" s="286">
        <f>IF(D236="si",E236*$F$215,0)</f>
        <v>0</v>
      </c>
      <c r="G236" s="286">
        <f>IF(D236="Si",E236*$F$218,0)</f>
        <v>0</v>
      </c>
      <c r="H236" s="18"/>
    </row>
    <row r="237" spans="1:8" ht="30.75" customHeight="1">
      <c r="A237" s="1"/>
      <c r="B237" s="324" t="s">
        <v>194</v>
      </c>
      <c r="C237" s="325"/>
      <c r="D237" s="220" t="s">
        <v>407</v>
      </c>
      <c r="E237" s="286">
        <f>IF(D237="si",E95,0)</f>
        <v>0</v>
      </c>
      <c r="F237" s="286">
        <f>IF(D237="si",E237*$F$215,0)</f>
        <v>0</v>
      </c>
      <c r="G237" s="286">
        <f>IF(D237="Si",E237*$F$218,0)</f>
        <v>0</v>
      </c>
      <c r="H237" s="1"/>
    </row>
    <row r="238" spans="1:8" ht="37.5" customHeight="1">
      <c r="A238" s="1"/>
      <c r="B238" s="324" t="s">
        <v>426</v>
      </c>
      <c r="C238" s="325"/>
      <c r="D238" s="220" t="s">
        <v>407</v>
      </c>
      <c r="E238" s="221">
        <f>IF(D238="si",IF(D233="Si",F115*($E$227*$E$229-E233),F115*$E$227*$E$229),0)</f>
        <v>0</v>
      </c>
      <c r="F238" s="221">
        <f t="shared" ref="F238" si="0">IF(D238="si",E238*$F$215,0)</f>
        <v>0</v>
      </c>
      <c r="G238" s="221">
        <f t="shared" ref="G238" si="1">IF(D238="Si",E238*$F$218,0)</f>
        <v>0</v>
      </c>
      <c r="H238" s="1"/>
    </row>
    <row r="239" spans="1:8" ht="33" customHeight="1">
      <c r="A239" s="1"/>
      <c r="B239" s="324" t="s">
        <v>192</v>
      </c>
      <c r="C239" s="325"/>
      <c r="D239" s="220" t="s">
        <v>407</v>
      </c>
      <c r="E239" s="221">
        <f>IF(D239="si",IF(D233="Si",F126*($E$227*$E$229-E233),F126*$E$227*$E$229),0)</f>
        <v>0</v>
      </c>
      <c r="F239" s="221">
        <f t="shared" ref="F239" si="2">IF(D239="si",E239*$F$215,0)</f>
        <v>0</v>
      </c>
      <c r="G239" s="221">
        <f t="shared" ref="G239" si="3">IF(D239="Si",E239*$F$218,0)</f>
        <v>0</v>
      </c>
      <c r="H239" s="1"/>
    </row>
    <row r="240" spans="1:8" ht="28.5" customHeight="1">
      <c r="A240" s="1"/>
      <c r="B240" s="324" t="s">
        <v>427</v>
      </c>
      <c r="C240" s="325"/>
      <c r="D240" s="220" t="s">
        <v>407</v>
      </c>
      <c r="E240" s="221">
        <f>IF(D240="si",IF(D239="Si",10%*($E$227*$E$229-E239),10%*$E$227*$E$229),0)</f>
        <v>0</v>
      </c>
      <c r="F240" s="221">
        <f>IF(D240="si",E240*$F$215,0)</f>
        <v>0</v>
      </c>
      <c r="G240" s="221">
        <f t="shared" ref="G240:G241" si="4">IF(D240="Si",E240*$F$218,0)</f>
        <v>0</v>
      </c>
      <c r="H240" s="1"/>
    </row>
    <row r="241" spans="1:8" ht="32.25" customHeight="1">
      <c r="A241" s="1"/>
      <c r="B241" s="324" t="s">
        <v>428</v>
      </c>
      <c r="C241" s="325"/>
      <c r="D241" s="220" t="s">
        <v>407</v>
      </c>
      <c r="E241" s="221">
        <f>IF(D241="si",IF(D238="Si",10%*($E$227*$E$229-E238),10%*$E$227*$E$229),0)</f>
        <v>0</v>
      </c>
      <c r="F241" s="221">
        <f t="shared" ref="F241" si="5">IF(D241="si",E241*$F$215,0)</f>
        <v>0</v>
      </c>
      <c r="G241" s="221">
        <f t="shared" si="4"/>
        <v>0</v>
      </c>
      <c r="H241" s="1"/>
    </row>
    <row r="242" spans="1:8" ht="25.5" customHeight="1">
      <c r="A242" s="1"/>
      <c r="B242" s="333" t="s">
        <v>429</v>
      </c>
      <c r="C242" s="333"/>
      <c r="D242" s="223"/>
      <c r="E242" s="224">
        <f>SUM(E232:E241)</f>
        <v>0</v>
      </c>
      <c r="F242" s="224">
        <f t="shared" ref="F242:G242" si="6">SUM(F232:F241)</f>
        <v>0</v>
      </c>
      <c r="G242" s="224">
        <f t="shared" si="6"/>
        <v>0</v>
      </c>
      <c r="H242" s="1"/>
    </row>
    <row r="243" spans="1:8">
      <c r="A243" s="1"/>
      <c r="B243" s="1"/>
      <c r="C243" s="1"/>
      <c r="D243" s="1"/>
      <c r="E243" s="1"/>
      <c r="F243" s="1"/>
      <c r="G243" s="1"/>
      <c r="H243" s="1"/>
    </row>
    <row r="244" spans="1:8">
      <c r="A244" s="1"/>
      <c r="B244" s="1"/>
      <c r="C244" s="1"/>
      <c r="D244" s="1"/>
      <c r="E244" s="1"/>
      <c r="F244" s="1"/>
      <c r="G244" s="1"/>
      <c r="H244" s="1"/>
    </row>
    <row r="245" spans="1:8">
      <c r="A245" s="1"/>
      <c r="B245" s="1"/>
      <c r="C245" s="1"/>
      <c r="D245" s="1"/>
      <c r="E245" s="1"/>
      <c r="F245" s="1"/>
      <c r="G245" s="1"/>
      <c r="H245" s="1"/>
    </row>
    <row r="246" spans="1:8">
      <c r="A246" s="1"/>
      <c r="B246" s="1"/>
      <c r="C246" s="1"/>
      <c r="D246" s="1"/>
      <c r="E246" s="1"/>
      <c r="F246" s="1"/>
      <c r="G246" s="1"/>
      <c r="H246" s="1"/>
    </row>
    <row r="247" spans="1:8">
      <c r="A247" s="1"/>
      <c r="B247" s="1"/>
      <c r="C247" s="1"/>
      <c r="D247" s="1"/>
      <c r="E247" s="1"/>
      <c r="F247" s="1"/>
      <c r="G247" s="1"/>
      <c r="H247" s="1"/>
    </row>
    <row r="248" spans="1:8">
      <c r="A248" s="1"/>
      <c r="B248" s="1"/>
      <c r="C248" s="1"/>
      <c r="D248" s="1"/>
      <c r="E248" s="1"/>
      <c r="F248" s="1"/>
      <c r="G248" s="1"/>
      <c r="H248" s="1"/>
    </row>
    <row r="249" spans="1:8">
      <c r="A249" s="1"/>
      <c r="B249" s="1"/>
      <c r="C249" s="1"/>
      <c r="D249" s="1"/>
      <c r="E249" s="1"/>
      <c r="F249" s="1"/>
      <c r="G249" s="1"/>
      <c r="H249" s="1"/>
    </row>
    <row r="250" spans="1:8">
      <c r="A250" s="1"/>
      <c r="B250" s="1"/>
      <c r="C250" s="1"/>
      <c r="D250" s="1"/>
      <c r="E250" s="1"/>
      <c r="F250" s="1"/>
      <c r="G250" s="1"/>
      <c r="H250" s="1"/>
    </row>
    <row r="251" spans="1:8">
      <c r="A251" s="1"/>
      <c r="B251" s="1"/>
      <c r="C251" s="1"/>
      <c r="D251" s="1"/>
      <c r="E251" s="1"/>
      <c r="F251" s="1"/>
      <c r="G251" s="1"/>
      <c r="H251" s="1"/>
    </row>
    <row r="252" spans="1:8">
      <c r="A252" s="1"/>
      <c r="B252" s="1"/>
      <c r="C252" s="1"/>
      <c r="D252" s="1"/>
      <c r="E252" s="1"/>
      <c r="F252" s="1"/>
      <c r="G252" s="1"/>
      <c r="H252" s="1"/>
    </row>
    <row r="253" spans="1:8">
      <c r="A253" s="1"/>
      <c r="B253" s="1"/>
      <c r="C253" s="1"/>
      <c r="D253" s="1"/>
      <c r="E253" s="1"/>
      <c r="F253" s="1"/>
      <c r="G253" s="1"/>
      <c r="H253" s="1"/>
    </row>
    <row r="254" spans="1:8">
      <c r="A254" s="1"/>
      <c r="B254" s="1"/>
      <c r="C254" s="1"/>
      <c r="D254" s="1"/>
      <c r="E254" s="1"/>
      <c r="F254" s="1"/>
      <c r="G254" s="1"/>
      <c r="H254" s="1"/>
    </row>
    <row r="255" spans="1:8">
      <c r="A255" s="1"/>
      <c r="B255" s="1"/>
      <c r="C255" s="1"/>
      <c r="D255" s="1"/>
      <c r="E255" s="1"/>
      <c r="F255" s="1"/>
      <c r="G255" s="1"/>
      <c r="H255" s="1"/>
    </row>
    <row r="256" spans="1:8">
      <c r="A256" s="1"/>
      <c r="B256" s="1"/>
      <c r="C256" s="1"/>
      <c r="D256" s="1"/>
      <c r="E256" s="1"/>
      <c r="F256" s="1"/>
      <c r="G256" s="1"/>
      <c r="H256" s="1"/>
    </row>
    <row r="257" spans="1:8">
      <c r="A257" s="1"/>
      <c r="B257" s="1"/>
      <c r="C257" s="1"/>
      <c r="D257" s="1"/>
      <c r="E257" s="1"/>
      <c r="F257" s="1"/>
      <c r="G257" s="1"/>
      <c r="H257" s="1"/>
    </row>
    <row r="258" spans="1:8">
      <c r="A258" s="1"/>
      <c r="B258" s="1"/>
      <c r="C258" s="1"/>
      <c r="D258" s="1"/>
      <c r="E258" s="1"/>
      <c r="F258" s="1"/>
      <c r="G258" s="1"/>
      <c r="H258" s="1"/>
    </row>
    <row r="259" spans="1:8">
      <c r="A259" s="1"/>
      <c r="B259" s="1"/>
      <c r="C259" s="1"/>
      <c r="D259" s="1"/>
      <c r="E259" s="1"/>
      <c r="F259" s="1"/>
      <c r="G259" s="1"/>
      <c r="H259" s="1"/>
    </row>
    <row r="260" spans="1:8">
      <c r="A260" s="1"/>
      <c r="B260" s="1"/>
      <c r="C260" s="1"/>
      <c r="D260" s="1"/>
      <c r="E260" s="1"/>
      <c r="F260" s="1"/>
      <c r="G260" s="1"/>
      <c r="H260" s="1"/>
    </row>
    <row r="261" spans="1:8">
      <c r="A261" s="1"/>
      <c r="B261" s="1"/>
      <c r="C261" s="1"/>
      <c r="D261" s="1"/>
      <c r="E261" s="1"/>
      <c r="F261" s="1"/>
      <c r="G261" s="1"/>
      <c r="H261" s="1"/>
    </row>
    <row r="262" spans="1:8">
      <c r="A262" s="1"/>
      <c r="B262" s="1"/>
      <c r="C262" s="1"/>
      <c r="D262" s="1"/>
      <c r="E262" s="1"/>
      <c r="F262" s="1"/>
      <c r="G262" s="1"/>
      <c r="H262" s="1"/>
    </row>
  </sheetData>
  <mergeCells count="48">
    <mergeCell ref="B238:C238"/>
    <mergeCell ref="B239:C239"/>
    <mergeCell ref="B240:C240"/>
    <mergeCell ref="B241:C241"/>
    <mergeCell ref="B242:C242"/>
    <mergeCell ref="B236:C236"/>
    <mergeCell ref="B237:C237"/>
    <mergeCell ref="B218:E218"/>
    <mergeCell ref="B219:E219"/>
    <mergeCell ref="D65:E65"/>
    <mergeCell ref="D66:E66"/>
    <mergeCell ref="D67:E67"/>
    <mergeCell ref="D68:E68"/>
    <mergeCell ref="D69:E69"/>
    <mergeCell ref="D70:E70"/>
    <mergeCell ref="D71:E71"/>
    <mergeCell ref="B231:C231"/>
    <mergeCell ref="B232:C232"/>
    <mergeCell ref="B233:C233"/>
    <mergeCell ref="B234:C234"/>
    <mergeCell ref="B235:C235"/>
    <mergeCell ref="B137:H137"/>
    <mergeCell ref="C164:F164"/>
    <mergeCell ref="B162:G162"/>
    <mergeCell ref="C192:H192"/>
    <mergeCell ref="C193:H193"/>
    <mergeCell ref="A182:H182"/>
    <mergeCell ref="C185:H185"/>
    <mergeCell ref="A188:H188"/>
    <mergeCell ref="A213:H213"/>
    <mergeCell ref="C139:F139"/>
    <mergeCell ref="C194:H194"/>
    <mergeCell ref="B216:H216"/>
    <mergeCell ref="B2:H2"/>
    <mergeCell ref="A4:H4"/>
    <mergeCell ref="F65:G65"/>
    <mergeCell ref="A86:H86"/>
    <mergeCell ref="E89:H89"/>
    <mergeCell ref="B94:H94"/>
    <mergeCell ref="B9:H9"/>
    <mergeCell ref="B10:D10"/>
    <mergeCell ref="A13:H13"/>
    <mergeCell ref="A45:H45"/>
    <mergeCell ref="B48:H48"/>
    <mergeCell ref="B49:D49"/>
    <mergeCell ref="A51:H51"/>
    <mergeCell ref="B95:D95"/>
    <mergeCell ref="A97:H97"/>
  </mergeCells>
  <dataValidations count="1">
    <dataValidation type="list" allowBlank="1" showInputMessage="1" showErrorMessage="1" sqref="D232:D241">
      <formula1>"Si,No"</formula1>
    </dataValidation>
  </dataValidations>
  <hyperlinks>
    <hyperlink ref="B219" r:id="rId1"/>
  </hyperlinks>
  <pageMargins left="0.7" right="0.7" top="1.625" bottom="0.75" header="0.3" footer="0.3"/>
  <pageSetup scale="76" fitToHeight="0" orientation="portrait" horizontalDpi="0" verticalDpi="0" r:id="rId2"/>
  <headerFooter>
    <oddHeader>&amp;C&amp;G&amp;R&amp;"Arial,Negrita Cursiva"REFRIGERACIÓN</oddHeader>
  </headerFooter>
  <rowBreaks count="3" manualBreakCount="3">
    <brk id="44" max="8" man="1"/>
    <brk id="138" max="8" man="1"/>
    <brk id="230" max="8" man="1"/>
  </rowBreaks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L88"/>
  <sheetViews>
    <sheetView topLeftCell="A40" zoomScaleNormal="100" workbookViewId="0">
      <selection activeCell="C55" sqref="C55:K55"/>
    </sheetView>
  </sheetViews>
  <sheetFormatPr baseColWidth="10" defaultRowHeight="14.25"/>
  <cols>
    <col min="1" max="3" width="3" style="52" customWidth="1"/>
    <col min="4" max="4" width="27.7109375" style="52" customWidth="1"/>
    <col min="5" max="5" width="10.85546875" style="52" customWidth="1"/>
    <col min="6" max="6" width="18.28515625" style="52" customWidth="1"/>
    <col min="7" max="7" width="10.42578125" style="52" customWidth="1"/>
    <col min="8" max="8" width="1.28515625" style="52" customWidth="1"/>
    <col min="9" max="9" width="13.7109375" style="52" customWidth="1"/>
    <col min="10" max="10" width="14.7109375" style="52" customWidth="1"/>
    <col min="11" max="11" width="3" style="52" customWidth="1"/>
    <col min="12" max="16384" width="11.42578125" style="52"/>
  </cols>
  <sheetData>
    <row r="1" spans="1:12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39.75" customHeight="1">
      <c r="A2" s="59"/>
      <c r="B2" s="339" t="s">
        <v>127</v>
      </c>
      <c r="C2" s="340"/>
      <c r="D2" s="340"/>
      <c r="E2" s="340"/>
      <c r="F2" s="340"/>
      <c r="G2" s="340"/>
      <c r="H2" s="340"/>
      <c r="I2" s="340"/>
      <c r="J2" s="340"/>
      <c r="K2" s="340"/>
      <c r="L2" s="59"/>
    </row>
    <row r="3" spans="1:1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s="53" customFormat="1" ht="12" customHeight="1">
      <c r="A4" s="60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12" s="53" customFormat="1" ht="18" customHeight="1">
      <c r="A5" s="60"/>
      <c r="B5" s="334" t="s">
        <v>134</v>
      </c>
      <c r="C5" s="334"/>
      <c r="D5" s="334"/>
      <c r="E5" s="334"/>
      <c r="F5" s="334"/>
      <c r="G5" s="334"/>
      <c r="H5" s="334"/>
      <c r="I5" s="334"/>
      <c r="J5" s="334"/>
      <c r="K5" s="334"/>
      <c r="L5" s="61"/>
    </row>
    <row r="6" spans="1:12" s="53" customFormat="1" ht="12.75" customHeight="1">
      <c r="A6" s="60"/>
      <c r="B6" s="64"/>
      <c r="C6" s="62"/>
      <c r="D6" s="62"/>
      <c r="E6" s="62"/>
      <c r="F6" s="62"/>
      <c r="G6" s="62"/>
      <c r="H6" s="62"/>
      <c r="I6" s="62"/>
      <c r="J6" s="62"/>
      <c r="K6" s="62"/>
      <c r="L6" s="61"/>
    </row>
    <row r="7" spans="1:12" s="53" customFormat="1" ht="12.75" customHeight="1">
      <c r="A7" s="60"/>
      <c r="B7" s="78" t="s">
        <v>133</v>
      </c>
      <c r="C7" s="60"/>
      <c r="D7" s="60"/>
      <c r="E7" s="60"/>
      <c r="F7" s="60"/>
      <c r="G7" s="60"/>
      <c r="H7" s="60"/>
      <c r="I7" s="60"/>
      <c r="J7" s="60"/>
      <c r="K7" s="62"/>
      <c r="L7" s="61"/>
    </row>
    <row r="8" spans="1:12" s="53" customFormat="1" ht="6.75" customHeight="1">
      <c r="A8" s="60"/>
      <c r="B8" s="78"/>
      <c r="C8" s="60"/>
      <c r="D8" s="60"/>
      <c r="E8" s="60"/>
      <c r="F8" s="60"/>
      <c r="G8" s="60"/>
      <c r="H8" s="60"/>
      <c r="I8" s="60"/>
      <c r="J8" s="60"/>
      <c r="K8" s="62"/>
      <c r="L8" s="61"/>
    </row>
    <row r="9" spans="1:12" s="53" customFormat="1" ht="15">
      <c r="A9" s="60"/>
      <c r="B9" s="79" t="s">
        <v>128</v>
      </c>
      <c r="C9" s="79" t="s">
        <v>132</v>
      </c>
      <c r="D9" s="79"/>
      <c r="E9" s="79"/>
      <c r="F9" s="79"/>
      <c r="G9" s="79"/>
      <c r="H9" s="79"/>
      <c r="I9" s="79"/>
      <c r="J9" s="79"/>
      <c r="K9" s="62"/>
      <c r="L9" s="61"/>
    </row>
    <row r="10" spans="1:12" s="53" customFormat="1" ht="18" customHeight="1">
      <c r="A10" s="60"/>
      <c r="B10" s="79" t="s">
        <v>129</v>
      </c>
      <c r="C10" s="79" t="s">
        <v>136</v>
      </c>
      <c r="D10" s="79"/>
      <c r="E10" s="79"/>
      <c r="F10" s="79"/>
      <c r="G10" s="79"/>
      <c r="H10" s="79"/>
      <c r="I10" s="79"/>
      <c r="J10" s="79"/>
      <c r="K10" s="62"/>
      <c r="L10" s="61"/>
    </row>
    <row r="11" spans="1:12" s="53" customFormat="1" ht="60.75" customHeight="1">
      <c r="A11" s="60"/>
      <c r="B11" s="79" t="s">
        <v>130</v>
      </c>
      <c r="C11" s="335" t="s">
        <v>137</v>
      </c>
      <c r="D11" s="335"/>
      <c r="E11" s="335"/>
      <c r="F11" s="335"/>
      <c r="G11" s="335"/>
      <c r="H11" s="335"/>
      <c r="I11" s="335"/>
      <c r="J11" s="335"/>
      <c r="K11" s="62"/>
      <c r="L11" s="61"/>
    </row>
    <row r="12" spans="1:12" s="53" customFormat="1" ht="17.25" customHeight="1">
      <c r="A12" s="60"/>
      <c r="B12" s="79" t="s">
        <v>131</v>
      </c>
      <c r="C12" s="79" t="s">
        <v>135</v>
      </c>
      <c r="D12" s="79"/>
      <c r="E12" s="79"/>
      <c r="F12" s="79"/>
      <c r="G12" s="79"/>
      <c r="H12" s="79"/>
      <c r="I12" s="79"/>
      <c r="J12" s="79"/>
      <c r="K12" s="62"/>
      <c r="L12" s="61"/>
    </row>
    <row r="13" spans="1:12" s="53" customFormat="1" ht="12" customHeight="1">
      <c r="A13" s="60"/>
      <c r="B13" s="60"/>
      <c r="C13" s="61"/>
      <c r="D13" s="61"/>
      <c r="E13" s="61"/>
      <c r="F13" s="61"/>
      <c r="G13" s="61"/>
      <c r="H13" s="61"/>
      <c r="I13" s="61"/>
      <c r="J13" s="61"/>
      <c r="K13" s="61"/>
      <c r="L13" s="61"/>
    </row>
    <row r="14" spans="1:12" s="54" customFormat="1" ht="18" customHeight="1">
      <c r="A14" s="60"/>
      <c r="B14" s="334" t="s">
        <v>138</v>
      </c>
      <c r="C14" s="334"/>
      <c r="D14" s="334"/>
      <c r="E14" s="334"/>
      <c r="F14" s="334"/>
      <c r="G14" s="334"/>
      <c r="H14" s="334"/>
      <c r="I14" s="334"/>
      <c r="J14" s="334"/>
      <c r="K14" s="334"/>
      <c r="L14" s="61"/>
    </row>
    <row r="15" spans="1:12" s="54" customFormat="1" ht="12" customHeight="1">
      <c r="A15" s="60"/>
      <c r="B15" s="66"/>
      <c r="C15" s="66"/>
      <c r="D15" s="66"/>
      <c r="E15" s="67"/>
      <c r="F15" s="67"/>
      <c r="G15" s="73"/>
      <c r="H15" s="70"/>
      <c r="I15" s="62"/>
      <c r="J15" s="62"/>
      <c r="K15" s="62"/>
      <c r="L15" s="61"/>
    </row>
    <row r="16" spans="1:12" ht="17.45" customHeight="1">
      <c r="A16" s="59"/>
      <c r="B16" s="66"/>
      <c r="C16" s="98" t="s">
        <v>212</v>
      </c>
      <c r="D16" s="65"/>
      <c r="E16" s="68"/>
      <c r="F16" s="68"/>
      <c r="G16" s="74"/>
      <c r="H16" s="70"/>
      <c r="I16" s="75"/>
      <c r="J16" s="75"/>
      <c r="K16" s="62"/>
      <c r="L16" s="59"/>
    </row>
    <row r="17" spans="1:12" ht="15.95" customHeight="1">
      <c r="A17" s="59"/>
      <c r="B17" s="66"/>
      <c r="C17" s="69"/>
      <c r="D17" s="69"/>
      <c r="E17" s="81" t="s">
        <v>139</v>
      </c>
      <c r="F17" s="181">
        <f>'1. Datos de entrada'!E175</f>
        <v>0</v>
      </c>
      <c r="G17" s="82" t="s">
        <v>78</v>
      </c>
      <c r="H17" s="70"/>
      <c r="I17" s="75"/>
      <c r="J17" s="75"/>
      <c r="K17" s="62"/>
      <c r="L17" s="59"/>
    </row>
    <row r="18" spans="1:12" ht="6" customHeight="1">
      <c r="A18" s="59"/>
      <c r="B18" s="66"/>
      <c r="C18" s="69"/>
      <c r="D18" s="69"/>
      <c r="E18" s="81"/>
      <c r="F18" s="86"/>
      <c r="G18" s="82"/>
      <c r="H18" s="70"/>
      <c r="I18" s="75"/>
      <c r="J18" s="75"/>
      <c r="K18" s="62"/>
      <c r="L18" s="59"/>
    </row>
    <row r="19" spans="1:12" ht="14.1" customHeight="1">
      <c r="A19" s="59"/>
      <c r="B19" s="66"/>
      <c r="C19" s="69"/>
      <c r="D19" s="69"/>
      <c r="E19" s="81" t="s">
        <v>141</v>
      </c>
      <c r="F19" s="181">
        <f>'1. Datos de entrada'!E174</f>
        <v>0</v>
      </c>
      <c r="G19" s="60" t="s">
        <v>78</v>
      </c>
      <c r="H19" s="70"/>
      <c r="I19" s="75"/>
      <c r="J19" s="75"/>
      <c r="K19" s="62"/>
      <c r="L19" s="59"/>
    </row>
    <row r="20" spans="1:12" ht="6" customHeight="1">
      <c r="A20" s="59"/>
      <c r="B20" s="66"/>
      <c r="C20" s="69"/>
      <c r="D20" s="69"/>
      <c r="E20" s="81"/>
      <c r="F20" s="86"/>
      <c r="G20" s="82"/>
      <c r="H20" s="70"/>
      <c r="I20" s="75"/>
      <c r="J20" s="75"/>
      <c r="K20" s="62"/>
      <c r="L20" s="59"/>
    </row>
    <row r="21" spans="1:12">
      <c r="A21" s="59"/>
      <c r="B21" s="66"/>
      <c r="C21" s="69"/>
      <c r="D21" s="69"/>
      <c r="E21" s="81" t="s">
        <v>140</v>
      </c>
      <c r="F21" s="181">
        <f>'1. Datos de entrada'!E173</f>
        <v>0</v>
      </c>
      <c r="G21" s="60" t="s">
        <v>78</v>
      </c>
      <c r="H21" s="70"/>
      <c r="I21" s="75"/>
      <c r="J21" s="75"/>
      <c r="K21" s="62"/>
      <c r="L21" s="59"/>
    </row>
    <row r="22" spans="1:12">
      <c r="A22" s="59"/>
      <c r="B22" s="66"/>
      <c r="C22" s="69"/>
      <c r="D22" s="69"/>
      <c r="E22" s="69"/>
      <c r="F22" s="69"/>
      <c r="G22" s="62"/>
      <c r="H22" s="70"/>
      <c r="I22" s="75"/>
      <c r="J22" s="75"/>
      <c r="K22" s="62"/>
      <c r="L22" s="59"/>
    </row>
    <row r="23" spans="1:12" ht="15">
      <c r="A23" s="59"/>
      <c r="B23" s="66"/>
      <c r="C23" s="79" t="s">
        <v>142</v>
      </c>
      <c r="D23" s="81"/>
      <c r="E23" s="60"/>
      <c r="F23" s="79" t="s">
        <v>143</v>
      </c>
      <c r="G23" s="83"/>
      <c r="H23" s="81"/>
      <c r="I23" s="84">
        <f>F17*F19</f>
        <v>0</v>
      </c>
      <c r="J23" s="81" t="s">
        <v>122</v>
      </c>
      <c r="K23" s="60"/>
      <c r="L23" s="85"/>
    </row>
    <row r="24" spans="1:12" ht="6" customHeight="1">
      <c r="A24" s="59"/>
      <c r="B24" s="66"/>
      <c r="C24" s="79"/>
      <c r="D24" s="81"/>
      <c r="E24" s="60"/>
      <c r="F24" s="79"/>
      <c r="G24" s="83"/>
      <c r="H24" s="81"/>
      <c r="I24" s="81"/>
      <c r="J24" s="81"/>
      <c r="K24" s="60"/>
      <c r="L24" s="85"/>
    </row>
    <row r="25" spans="1:12" ht="15">
      <c r="A25" s="59"/>
      <c r="B25" s="66"/>
      <c r="C25" s="79"/>
      <c r="D25" s="81"/>
      <c r="E25" s="60"/>
      <c r="F25" s="79" t="s">
        <v>144</v>
      </c>
      <c r="G25" s="86"/>
      <c r="H25" s="81"/>
      <c r="I25" s="84">
        <f>(2*(F17+2*G41/100)*(F19+2*G41/100)+2*((F17+2*G41/100)+(F19+2*G41/100))*(F21+2*G41/100))</f>
        <v>0</v>
      </c>
      <c r="J25" s="81" t="s">
        <v>122</v>
      </c>
      <c r="K25" s="60"/>
      <c r="L25" s="85"/>
    </row>
    <row r="26" spans="1:12" ht="6" customHeight="1">
      <c r="A26" s="59"/>
      <c r="B26" s="66"/>
      <c r="C26" s="79"/>
      <c r="D26" s="81"/>
      <c r="E26" s="60"/>
      <c r="F26" s="79"/>
      <c r="G26" s="83"/>
      <c r="H26" s="81"/>
      <c r="I26" s="81"/>
      <c r="J26" s="60"/>
      <c r="K26" s="60"/>
      <c r="L26" s="85"/>
    </row>
    <row r="27" spans="1:12" ht="15">
      <c r="A27" s="59"/>
      <c r="B27" s="66"/>
      <c r="C27" s="79"/>
      <c r="D27" s="81"/>
      <c r="E27" s="60"/>
      <c r="F27" s="79" t="s">
        <v>145</v>
      </c>
      <c r="G27" s="83"/>
      <c r="H27" s="81"/>
      <c r="I27" s="84">
        <f>F17*F19*F21</f>
        <v>0</v>
      </c>
      <c r="J27" s="81" t="s">
        <v>123</v>
      </c>
      <c r="K27" s="60"/>
      <c r="L27" s="85"/>
    </row>
    <row r="28" spans="1:12">
      <c r="A28" s="59"/>
      <c r="B28" s="66"/>
      <c r="C28" s="69"/>
      <c r="D28" s="69"/>
      <c r="E28" s="69"/>
      <c r="F28" s="69"/>
      <c r="G28" s="62"/>
      <c r="H28" s="70"/>
      <c r="I28" s="74"/>
      <c r="J28" s="74"/>
      <c r="K28" s="62"/>
      <c r="L28" s="59"/>
    </row>
    <row r="29" spans="1:12">
      <c r="A29" s="59"/>
      <c r="B29" s="66"/>
      <c r="C29" s="98" t="s">
        <v>213</v>
      </c>
      <c r="D29" s="98"/>
      <c r="E29" s="69"/>
      <c r="F29" s="69"/>
      <c r="G29" s="62"/>
      <c r="H29" s="70"/>
      <c r="I29" s="74"/>
      <c r="J29" s="74"/>
      <c r="K29" s="62"/>
      <c r="L29" s="59"/>
    </row>
    <row r="30" spans="1:12">
      <c r="A30" s="59"/>
      <c r="B30" s="66"/>
      <c r="D30" s="71"/>
      <c r="E30" s="72"/>
      <c r="F30" s="181">
        <f>'1. Datos de entrada'!E182</f>
        <v>0</v>
      </c>
      <c r="G30" s="88" t="s">
        <v>124</v>
      </c>
      <c r="H30" s="77"/>
      <c r="I30" s="72"/>
      <c r="J30" s="74"/>
      <c r="K30" s="62"/>
      <c r="L30" s="59"/>
    </row>
    <row r="31" spans="1:12" s="54" customFormat="1" ht="12" customHeight="1">
      <c r="A31" s="60"/>
      <c r="B31" s="66"/>
      <c r="C31" s="66"/>
      <c r="D31" s="66"/>
      <c r="E31" s="67"/>
      <c r="F31" s="55"/>
      <c r="G31" s="73"/>
      <c r="H31" s="70"/>
      <c r="I31" s="62"/>
      <c r="J31" s="62"/>
      <c r="K31" s="62"/>
      <c r="L31" s="61"/>
    </row>
    <row r="32" spans="1:12" s="54" customFormat="1" ht="15" customHeight="1">
      <c r="A32" s="60"/>
      <c r="B32" s="334" t="s">
        <v>146</v>
      </c>
      <c r="C32" s="334"/>
      <c r="D32" s="334"/>
      <c r="E32" s="334"/>
      <c r="F32" s="334"/>
      <c r="G32" s="334"/>
      <c r="H32" s="334"/>
      <c r="I32" s="334"/>
      <c r="J32" s="334"/>
      <c r="K32" s="334"/>
      <c r="L32" s="61"/>
    </row>
    <row r="33" spans="1:12" s="54" customFormat="1" ht="12" customHeight="1">
      <c r="A33" s="60"/>
      <c r="B33" s="66"/>
      <c r="C33" s="66"/>
      <c r="D33" s="66"/>
      <c r="E33" s="67"/>
      <c r="F33" s="67"/>
      <c r="G33" s="73"/>
      <c r="H33" s="70"/>
      <c r="I33" s="62"/>
      <c r="J33" s="62"/>
      <c r="K33" s="62"/>
      <c r="L33" s="61"/>
    </row>
    <row r="34" spans="1:12" ht="15">
      <c r="A34" s="59"/>
      <c r="B34" s="80"/>
      <c r="C34" s="98" t="s">
        <v>148</v>
      </c>
      <c r="D34" s="71"/>
      <c r="E34" s="72"/>
      <c r="F34" s="289"/>
      <c r="G34" s="88" t="s">
        <v>124</v>
      </c>
      <c r="H34" s="77"/>
      <c r="I34" s="72"/>
      <c r="J34" s="74"/>
      <c r="K34" s="62"/>
      <c r="L34" s="59"/>
    </row>
    <row r="35" spans="1:12">
      <c r="A35" s="59"/>
      <c r="B35" s="70"/>
      <c r="C35" s="89"/>
      <c r="D35" s="89"/>
      <c r="E35" s="70"/>
      <c r="F35" s="70"/>
      <c r="G35" s="75"/>
      <c r="H35" s="70"/>
      <c r="I35" s="74"/>
      <c r="J35" s="74"/>
      <c r="K35" s="70"/>
      <c r="L35" s="59"/>
    </row>
    <row r="36" spans="1:12" s="54" customFormat="1" ht="15" customHeight="1">
      <c r="A36" s="60"/>
      <c r="B36" s="334" t="s">
        <v>147</v>
      </c>
      <c r="C36" s="334"/>
      <c r="D36" s="334"/>
      <c r="E36" s="334"/>
      <c r="F36" s="334"/>
      <c r="G36" s="334"/>
      <c r="H36" s="334"/>
      <c r="I36" s="334"/>
      <c r="J36" s="334"/>
      <c r="K36" s="334"/>
      <c r="L36" s="61"/>
    </row>
    <row r="37" spans="1:12" s="54" customFormat="1" ht="12" customHeight="1">
      <c r="A37" s="60"/>
      <c r="B37" s="66"/>
      <c r="C37" s="66"/>
      <c r="D37" s="66"/>
      <c r="E37" s="67"/>
      <c r="F37" s="67"/>
      <c r="G37" s="73"/>
      <c r="H37" s="70"/>
      <c r="I37" s="62"/>
      <c r="J37" s="62"/>
      <c r="K37" s="62"/>
      <c r="L37" s="61"/>
    </row>
    <row r="38" spans="1:12" ht="15" customHeight="1">
      <c r="A38" s="59"/>
      <c r="B38" s="70"/>
      <c r="C38" s="98" t="s">
        <v>164</v>
      </c>
      <c r="D38" s="65"/>
      <c r="E38" s="76"/>
      <c r="F38" s="96" t="s">
        <v>150</v>
      </c>
      <c r="G38" s="290">
        <v>2.8000000000000001E-2</v>
      </c>
      <c r="H38" s="62"/>
      <c r="I38" s="60" t="s">
        <v>125</v>
      </c>
      <c r="J38" s="70"/>
      <c r="K38" s="70"/>
      <c r="L38" s="59"/>
    </row>
    <row r="39" spans="1:12" ht="15" customHeight="1">
      <c r="A39" s="59"/>
      <c r="B39" s="70"/>
      <c r="C39" s="97" t="s">
        <v>165</v>
      </c>
      <c r="D39" s="65"/>
      <c r="E39" s="76"/>
      <c r="F39" s="90"/>
      <c r="G39" s="91"/>
      <c r="H39" s="62"/>
      <c r="I39" s="62"/>
      <c r="J39" s="70"/>
      <c r="K39" s="70"/>
      <c r="L39" s="59"/>
    </row>
    <row r="40" spans="1:12" ht="6" customHeight="1">
      <c r="A40" s="59"/>
      <c r="B40" s="70"/>
      <c r="C40" s="69"/>
      <c r="D40" s="69"/>
      <c r="E40" s="76"/>
      <c r="F40" s="92"/>
      <c r="G40" s="92"/>
      <c r="H40" s="62"/>
      <c r="I40" s="62"/>
      <c r="J40" s="70"/>
      <c r="K40" s="70"/>
      <c r="L40" s="59"/>
    </row>
    <row r="41" spans="1:12" ht="15.6" customHeight="1">
      <c r="A41" s="59"/>
      <c r="B41" s="70"/>
      <c r="C41" s="79" t="s">
        <v>214</v>
      </c>
      <c r="D41" s="69"/>
      <c r="E41" s="62"/>
      <c r="F41" s="83" t="s">
        <v>126</v>
      </c>
      <c r="G41" s="181">
        <f>'1. Datos de entrada'!E178</f>
        <v>0</v>
      </c>
      <c r="H41" s="62"/>
      <c r="I41" s="60" t="s">
        <v>85</v>
      </c>
      <c r="J41" s="70"/>
      <c r="K41" s="70"/>
      <c r="L41" s="59"/>
    </row>
    <row r="42" spans="1:12" ht="6" customHeight="1">
      <c r="A42" s="59"/>
      <c r="B42" s="70"/>
      <c r="C42" s="69"/>
      <c r="D42" s="69"/>
      <c r="E42" s="76"/>
      <c r="F42" s="83"/>
      <c r="G42" s="93"/>
      <c r="H42" s="62"/>
      <c r="I42" s="60"/>
      <c r="J42" s="70"/>
      <c r="K42" s="70"/>
      <c r="L42" s="59"/>
    </row>
    <row r="43" spans="1:12" ht="15">
      <c r="A43" s="59"/>
      <c r="B43" s="70"/>
      <c r="C43" s="79" t="s">
        <v>151</v>
      </c>
      <c r="D43" s="65"/>
      <c r="E43" s="76"/>
      <c r="F43" s="96" t="s">
        <v>152</v>
      </c>
      <c r="G43" s="291"/>
      <c r="H43" s="62"/>
      <c r="I43" s="60" t="s">
        <v>85</v>
      </c>
      <c r="J43" s="94"/>
      <c r="K43" s="70"/>
      <c r="L43" s="59"/>
    </row>
    <row r="44" spans="1:12" ht="15">
      <c r="A44" s="59"/>
      <c r="B44" s="70"/>
      <c r="C44" s="79"/>
      <c r="D44" s="65"/>
      <c r="E44" s="76"/>
      <c r="F44" s="96"/>
      <c r="G44" s="102"/>
      <c r="H44" s="62"/>
      <c r="I44" s="60"/>
      <c r="J44" s="94"/>
      <c r="K44" s="70"/>
      <c r="L44" s="59"/>
    </row>
    <row r="45" spans="1:12" ht="27.75" customHeight="1">
      <c r="A45" s="59"/>
      <c r="B45" s="341" t="s">
        <v>157</v>
      </c>
      <c r="C45" s="341"/>
      <c r="D45" s="341"/>
      <c r="E45" s="341"/>
      <c r="F45" s="341"/>
      <c r="G45" s="341"/>
      <c r="H45" s="341"/>
      <c r="I45" s="341"/>
      <c r="J45" s="341"/>
      <c r="K45" s="341"/>
      <c r="L45" s="59"/>
    </row>
    <row r="46" spans="1:12">
      <c r="A46" s="59"/>
      <c r="B46" s="70"/>
      <c r="C46" s="69"/>
      <c r="D46" s="69"/>
      <c r="E46" s="62"/>
      <c r="F46" s="62"/>
      <c r="G46" s="95"/>
      <c r="H46" s="62"/>
      <c r="I46" s="95"/>
      <c r="J46" s="75"/>
      <c r="K46" s="70"/>
      <c r="L46" s="59"/>
    </row>
    <row r="47" spans="1:12" s="54" customFormat="1" ht="15" customHeight="1">
      <c r="A47" s="60"/>
      <c r="B47" s="334" t="s">
        <v>149</v>
      </c>
      <c r="C47" s="334"/>
      <c r="D47" s="334"/>
      <c r="E47" s="334"/>
      <c r="F47" s="334"/>
      <c r="G47" s="334"/>
      <c r="H47" s="334"/>
      <c r="I47" s="334"/>
      <c r="J47" s="334"/>
      <c r="K47" s="334"/>
      <c r="L47" s="61"/>
    </row>
    <row r="48" spans="1:12" s="54" customFormat="1" ht="12" customHeight="1">
      <c r="A48" s="60"/>
      <c r="B48" s="66"/>
      <c r="C48" s="66"/>
      <c r="D48" s="66"/>
      <c r="E48" s="67"/>
      <c r="F48" s="67"/>
      <c r="G48" s="73"/>
      <c r="H48" s="70"/>
      <c r="I48" s="62"/>
      <c r="J48" s="62"/>
      <c r="K48" s="62"/>
      <c r="L48" s="61"/>
    </row>
    <row r="49" spans="1:12" ht="15">
      <c r="A49" s="59"/>
      <c r="B49" s="70"/>
      <c r="C49" s="79" t="s">
        <v>154</v>
      </c>
      <c r="D49" s="65"/>
      <c r="E49" s="76"/>
      <c r="F49" s="76"/>
      <c r="G49" s="291">
        <v>2.5</v>
      </c>
      <c r="H49" s="62"/>
      <c r="I49" s="62"/>
      <c r="J49" s="94"/>
      <c r="K49" s="70"/>
      <c r="L49" s="59"/>
    </row>
    <row r="50" spans="1:12">
      <c r="A50" s="59"/>
      <c r="B50" s="70"/>
      <c r="C50" s="97" t="s">
        <v>153</v>
      </c>
      <c r="D50" s="65"/>
      <c r="E50" s="76"/>
      <c r="F50" s="76"/>
      <c r="G50" s="92"/>
      <c r="H50" s="62"/>
      <c r="I50" s="62"/>
      <c r="J50" s="94"/>
      <c r="K50" s="70"/>
      <c r="L50" s="59"/>
    </row>
    <row r="51" spans="1:12">
      <c r="A51" s="59"/>
      <c r="B51" s="70"/>
      <c r="C51" s="97"/>
      <c r="D51" s="65"/>
      <c r="E51" s="76"/>
      <c r="F51" s="76"/>
      <c r="G51" s="92"/>
      <c r="H51" s="62"/>
      <c r="I51" s="62"/>
      <c r="J51" s="94"/>
      <c r="K51" s="70"/>
      <c r="L51" s="59"/>
    </row>
    <row r="52" spans="1:12" s="54" customFormat="1" ht="15" customHeight="1">
      <c r="A52" s="60"/>
      <c r="B52" s="334" t="s">
        <v>158</v>
      </c>
      <c r="C52" s="334"/>
      <c r="D52" s="334"/>
      <c r="E52" s="334"/>
      <c r="F52" s="334"/>
      <c r="G52" s="334"/>
      <c r="H52" s="334"/>
      <c r="I52" s="334"/>
      <c r="J52" s="334"/>
      <c r="K52" s="334"/>
      <c r="L52" s="61"/>
    </row>
    <row r="53" spans="1:12" s="54" customFormat="1" ht="12" customHeight="1">
      <c r="A53" s="60"/>
      <c r="B53" s="66"/>
      <c r="C53" s="66"/>
      <c r="D53" s="66"/>
      <c r="E53" s="67"/>
      <c r="F53" s="67"/>
      <c r="G53" s="73"/>
      <c r="H53" s="70"/>
      <c r="I53" s="62"/>
      <c r="J53" s="62"/>
      <c r="K53" s="62"/>
      <c r="L53" s="61"/>
    </row>
    <row r="54" spans="1:12" ht="15">
      <c r="A54" s="59"/>
      <c r="B54" s="70"/>
      <c r="C54" s="79" t="s">
        <v>155</v>
      </c>
      <c r="D54" s="65"/>
      <c r="E54" s="76"/>
      <c r="F54" s="76"/>
      <c r="G54" s="291"/>
      <c r="H54" s="62"/>
      <c r="I54" s="62" t="s">
        <v>156</v>
      </c>
      <c r="J54" s="94"/>
      <c r="K54" s="70"/>
      <c r="L54" s="59"/>
    </row>
    <row r="55" spans="1:12" s="56" customFormat="1" ht="25.5" customHeight="1">
      <c r="A55" s="63"/>
      <c r="B55" s="99"/>
      <c r="C55" s="314" t="s">
        <v>497</v>
      </c>
      <c r="D55" s="314"/>
      <c r="E55" s="314"/>
      <c r="F55" s="314"/>
      <c r="G55" s="314"/>
      <c r="H55" s="314"/>
      <c r="I55" s="314"/>
      <c r="J55" s="314"/>
      <c r="K55" s="314"/>
      <c r="L55" s="63"/>
    </row>
    <row r="56" spans="1:12" s="53" customFormat="1" ht="12" customHeight="1">
      <c r="A56" s="60"/>
      <c r="B56" s="60"/>
      <c r="C56" s="61"/>
      <c r="D56" s="61"/>
      <c r="E56" s="61"/>
      <c r="F56" s="61"/>
      <c r="G56" s="61"/>
      <c r="H56" s="61"/>
      <c r="I56" s="61"/>
      <c r="J56" s="61"/>
      <c r="K56" s="61"/>
      <c r="L56" s="61"/>
    </row>
    <row r="57" spans="1:12" s="53" customFormat="1" ht="15.75" customHeight="1">
      <c r="A57" s="60"/>
      <c r="B57" s="334" t="s">
        <v>159</v>
      </c>
      <c r="C57" s="334"/>
      <c r="D57" s="334"/>
      <c r="E57" s="334"/>
      <c r="F57" s="334"/>
      <c r="G57" s="334"/>
      <c r="H57" s="334"/>
      <c r="I57" s="334"/>
      <c r="J57" s="334"/>
      <c r="K57" s="334"/>
      <c r="L57" s="61"/>
    </row>
    <row r="58" spans="1:12" s="53" customFormat="1" ht="12" customHeight="1">
      <c r="A58" s="60"/>
      <c r="B58" s="60"/>
      <c r="C58" s="104"/>
      <c r="D58" s="104"/>
      <c r="E58" s="104"/>
      <c r="F58" s="104"/>
      <c r="G58" s="104"/>
      <c r="H58" s="104"/>
      <c r="I58" s="104"/>
      <c r="J58" s="104"/>
      <c r="K58" s="104"/>
      <c r="L58" s="61"/>
    </row>
    <row r="59" spans="1:12" s="53" customFormat="1" ht="17.25" customHeight="1">
      <c r="A59" s="60"/>
      <c r="B59" s="60"/>
      <c r="C59" s="326" t="s">
        <v>160</v>
      </c>
      <c r="D59" s="326"/>
      <c r="E59" s="326"/>
      <c r="F59" s="326"/>
      <c r="G59" s="326"/>
      <c r="H59" s="326"/>
      <c r="I59" s="326"/>
      <c r="J59" s="326"/>
      <c r="K59" s="326"/>
      <c r="L59" s="61"/>
    </row>
    <row r="60" spans="1:12" s="53" customFormat="1" ht="15.75" customHeight="1">
      <c r="A60" s="60"/>
      <c r="B60" s="60"/>
      <c r="C60" s="60"/>
      <c r="D60" s="105" t="s">
        <v>161</v>
      </c>
      <c r="E60" s="104"/>
      <c r="F60" s="104"/>
      <c r="G60" s="104"/>
      <c r="H60" s="104"/>
      <c r="I60" s="104"/>
      <c r="J60" s="104"/>
      <c r="K60" s="104"/>
      <c r="L60" s="61"/>
    </row>
    <row r="61" spans="1:12" s="53" customFormat="1" ht="15.75" customHeight="1">
      <c r="A61" s="60"/>
      <c r="B61" s="60"/>
      <c r="C61" s="60"/>
      <c r="D61" s="105" t="s">
        <v>166</v>
      </c>
      <c r="E61" s="104"/>
      <c r="F61" s="104"/>
      <c r="G61" s="104"/>
      <c r="H61" s="104"/>
      <c r="I61" s="104"/>
      <c r="J61" s="104"/>
      <c r="K61" s="104"/>
      <c r="L61" s="61"/>
    </row>
    <row r="62" spans="1:12" s="53" customFormat="1" ht="15.75" customHeight="1">
      <c r="A62" s="60"/>
      <c r="B62" s="60"/>
      <c r="C62" s="60"/>
      <c r="D62" s="105" t="s">
        <v>162</v>
      </c>
      <c r="E62" s="104"/>
      <c r="F62" s="104"/>
      <c r="G62" s="104"/>
      <c r="H62" s="104"/>
      <c r="I62" s="104"/>
      <c r="J62" s="104"/>
      <c r="K62" s="104"/>
      <c r="L62" s="61"/>
    </row>
    <row r="63" spans="1:12" s="53" customFormat="1" ht="15.75" customHeight="1">
      <c r="A63" s="60"/>
      <c r="B63" s="60"/>
      <c r="C63" s="60"/>
      <c r="D63" s="105" t="s">
        <v>163</v>
      </c>
      <c r="E63" s="104"/>
      <c r="F63" s="104"/>
      <c r="G63" s="104"/>
      <c r="H63" s="104"/>
      <c r="I63" s="104"/>
      <c r="J63" s="104"/>
      <c r="K63" s="104"/>
      <c r="L63" s="61"/>
    </row>
    <row r="64" spans="1:12" s="53" customFormat="1" ht="12" customHeight="1">
      <c r="A64" s="60"/>
      <c r="B64" s="60"/>
      <c r="C64" s="104"/>
      <c r="D64" s="104"/>
      <c r="E64" s="104"/>
      <c r="F64" s="104"/>
      <c r="G64" s="104"/>
      <c r="H64" s="104"/>
      <c r="I64" s="104"/>
      <c r="J64" s="104"/>
      <c r="K64" s="104"/>
      <c r="L64" s="61"/>
    </row>
    <row r="65" spans="1:12" s="53" customFormat="1" ht="18.75" customHeight="1">
      <c r="A65" s="60"/>
      <c r="B65" s="60"/>
      <c r="C65" s="326" t="s">
        <v>170</v>
      </c>
      <c r="D65" s="326"/>
      <c r="E65" s="326"/>
      <c r="F65" s="326"/>
      <c r="G65" s="326"/>
      <c r="H65" s="326"/>
      <c r="I65" s="326"/>
      <c r="J65" s="326"/>
      <c r="K65" s="104"/>
      <c r="L65" s="61"/>
    </row>
    <row r="66" spans="1:12" s="53" customFormat="1" ht="16.5" customHeight="1">
      <c r="A66" s="60"/>
      <c r="B66" s="60"/>
      <c r="C66" s="104"/>
      <c r="D66" s="106" t="s">
        <v>168</v>
      </c>
      <c r="E66" s="103"/>
      <c r="F66" s="103"/>
      <c r="G66" s="86" t="str">
        <f>IF(ISERR((F34-F30)*G38*G43/100/(G41/100*(G41/100+G43/100)))=TRUE,"-",(F34-F30)*G38*G43/100/(G41/100*(G41/100+G43/100)))</f>
        <v>-</v>
      </c>
      <c r="H66" s="82"/>
      <c r="I66" s="82" t="s">
        <v>175</v>
      </c>
      <c r="J66" s="60"/>
      <c r="K66" s="104"/>
      <c r="L66" s="61"/>
    </row>
    <row r="67" spans="1:12" s="53" customFormat="1" ht="29.25" customHeight="1">
      <c r="A67" s="60"/>
      <c r="B67" s="60"/>
      <c r="C67" s="104"/>
      <c r="D67" s="336" t="s">
        <v>167</v>
      </c>
      <c r="E67" s="336"/>
      <c r="F67" s="336"/>
      <c r="G67" s="336"/>
      <c r="H67" s="336"/>
      <c r="I67" s="336"/>
      <c r="J67" s="336"/>
      <c r="K67" s="336"/>
      <c r="L67" s="61"/>
    </row>
    <row r="68" spans="1:12" s="53" customFormat="1" ht="16.5" customHeight="1">
      <c r="A68" s="60"/>
      <c r="B68" s="60"/>
      <c r="C68" s="104"/>
      <c r="D68" s="60" t="s">
        <v>169</v>
      </c>
      <c r="E68" s="103"/>
      <c r="F68" s="103"/>
      <c r="G68" s="103"/>
      <c r="H68" s="60"/>
      <c r="I68" s="60"/>
      <c r="J68" s="60"/>
      <c r="K68" s="104"/>
      <c r="L68" s="61"/>
    </row>
    <row r="69" spans="1:12" s="53" customFormat="1" ht="16.5" customHeight="1">
      <c r="A69" s="60"/>
      <c r="B69" s="60"/>
      <c r="C69" s="104"/>
      <c r="D69" s="335"/>
      <c r="E69" s="335"/>
      <c r="F69" s="335"/>
      <c r="G69" s="335"/>
      <c r="H69" s="335"/>
      <c r="I69" s="335"/>
      <c r="J69" s="335"/>
      <c r="K69" s="104"/>
      <c r="L69" s="61"/>
    </row>
    <row r="70" spans="1:12" s="53" customFormat="1" ht="17.25" customHeight="1">
      <c r="A70" s="60"/>
      <c r="B70" s="60"/>
      <c r="C70" s="326" t="s">
        <v>171</v>
      </c>
      <c r="D70" s="326"/>
      <c r="E70" s="326"/>
      <c r="F70" s="326"/>
      <c r="G70" s="116" t="str">
        <f>IF(ISERR(G66*(2*(F17+2*G41/100)*(F19+2*G41/100)+2*((F17+2*G41/100)+(F19+2*G41/100))*(F21+2*G41/100)))=TRUE,"-",G66*(2*(F17+2*G41/100)*(F19+2*G41/100)+2*((F17+2*G41/100)+(F19+2*G41/100))*(F21+2*G41/100)))</f>
        <v>-</v>
      </c>
      <c r="H70" s="109"/>
      <c r="I70" s="109" t="s">
        <v>176</v>
      </c>
      <c r="J70" s="108"/>
      <c r="K70" s="107"/>
      <c r="L70" s="61"/>
    </row>
    <row r="71" spans="1:12" s="53" customFormat="1" ht="17.25" customHeight="1">
      <c r="A71" s="60"/>
      <c r="B71" s="60"/>
      <c r="C71" s="107"/>
      <c r="D71" s="107"/>
      <c r="E71" s="107"/>
      <c r="F71" s="107"/>
      <c r="G71" s="107"/>
      <c r="H71" s="107"/>
      <c r="I71" s="107"/>
      <c r="J71" s="107"/>
      <c r="K71" s="107"/>
      <c r="L71" s="61"/>
    </row>
    <row r="72" spans="1:12" s="53" customFormat="1" ht="15" customHeight="1">
      <c r="A72" s="60"/>
      <c r="B72" s="60"/>
      <c r="C72" s="342" t="s">
        <v>172</v>
      </c>
      <c r="D72" s="342"/>
      <c r="E72" s="342"/>
      <c r="F72" s="342"/>
      <c r="G72" s="342"/>
      <c r="H72" s="342"/>
      <c r="I72" s="342"/>
      <c r="J72" s="342"/>
      <c r="K72" s="342"/>
      <c r="L72" s="61"/>
    </row>
    <row r="73" spans="1:12" s="53" customFormat="1" ht="16.5" customHeight="1">
      <c r="A73" s="60"/>
      <c r="B73" s="60"/>
      <c r="C73" s="108"/>
      <c r="D73" s="108" t="s">
        <v>173</v>
      </c>
      <c r="E73" s="227">
        <f>24*365</f>
        <v>8760</v>
      </c>
      <c r="F73" s="108" t="s">
        <v>174</v>
      </c>
      <c r="G73" s="60"/>
      <c r="H73" s="60"/>
      <c r="I73" s="60"/>
      <c r="J73" s="107"/>
      <c r="K73" s="107"/>
      <c r="L73" s="61"/>
    </row>
    <row r="74" spans="1:12" s="53" customFormat="1" ht="17.25" customHeight="1">
      <c r="A74" s="60"/>
      <c r="B74" s="60"/>
      <c r="C74" s="107"/>
      <c r="D74" s="107"/>
      <c r="E74" s="107"/>
      <c r="F74" s="107"/>
      <c r="G74" s="117" t="str">
        <f>IF(ISERR(G70/G49*E73/1000)=TRUE,"-",G70/G49*E73/1000)</f>
        <v>-</v>
      </c>
      <c r="H74" s="112"/>
      <c r="I74" s="111" t="s">
        <v>180</v>
      </c>
      <c r="J74" s="107"/>
      <c r="K74" s="107"/>
      <c r="L74" s="61"/>
    </row>
    <row r="75" spans="1:12" s="53" customFormat="1" ht="17.25" customHeight="1">
      <c r="A75" s="60"/>
      <c r="B75" s="60"/>
      <c r="C75" s="107"/>
      <c r="D75" s="107"/>
      <c r="E75" s="107"/>
      <c r="F75" s="107"/>
      <c r="G75" s="107"/>
      <c r="H75" s="107"/>
      <c r="I75" s="107"/>
      <c r="J75" s="107"/>
      <c r="K75" s="107"/>
      <c r="L75" s="61"/>
    </row>
    <row r="76" spans="1:12" s="53" customFormat="1" ht="17.25" customHeight="1">
      <c r="A76" s="60"/>
      <c r="B76" s="334" t="s">
        <v>177</v>
      </c>
      <c r="C76" s="334"/>
      <c r="D76" s="334"/>
      <c r="E76" s="334"/>
      <c r="F76" s="334"/>
      <c r="G76" s="334"/>
      <c r="H76" s="334"/>
      <c r="I76" s="334"/>
      <c r="J76" s="334"/>
      <c r="K76" s="334"/>
      <c r="L76" s="61"/>
    </row>
    <row r="77" spans="1:12" s="53" customFormat="1" ht="17.25" customHeight="1">
      <c r="A77" s="60"/>
      <c r="B77" s="60"/>
      <c r="C77" s="107"/>
      <c r="D77" s="107"/>
      <c r="E77" s="107"/>
      <c r="F77" s="107"/>
      <c r="G77" s="107"/>
      <c r="H77" s="107"/>
      <c r="I77" s="107"/>
      <c r="J77" s="107"/>
      <c r="K77" s="107"/>
      <c r="L77" s="61"/>
    </row>
    <row r="78" spans="1:12" s="53" customFormat="1" ht="17.25" customHeight="1">
      <c r="A78" s="60"/>
      <c r="B78" s="60"/>
      <c r="C78" s="326" t="s">
        <v>178</v>
      </c>
      <c r="D78" s="326"/>
      <c r="E78" s="326"/>
      <c r="F78" s="326"/>
      <c r="G78" s="117" t="str">
        <f>IF(ISERR(G74*G54)=TRUE,"-",G74*G54)</f>
        <v>-</v>
      </c>
      <c r="H78" s="110"/>
      <c r="I78" s="110" t="s">
        <v>179</v>
      </c>
      <c r="J78" s="107"/>
      <c r="K78" s="107"/>
      <c r="L78" s="61"/>
    </row>
    <row r="79" spans="1:12" s="53" customFormat="1" ht="17.25" customHeight="1">
      <c r="A79" s="60"/>
      <c r="B79" s="60"/>
      <c r="C79" s="107"/>
      <c r="D79" s="107"/>
      <c r="E79" s="107"/>
      <c r="F79" s="107"/>
      <c r="G79" s="107"/>
      <c r="H79" s="107"/>
      <c r="I79" s="107"/>
      <c r="J79" s="107"/>
      <c r="K79" s="107"/>
      <c r="L79" s="61"/>
    </row>
    <row r="80" spans="1:12" s="53" customFormat="1" ht="17.25" customHeight="1">
      <c r="A80" s="60"/>
      <c r="B80" s="334" t="s">
        <v>205</v>
      </c>
      <c r="C80" s="334"/>
      <c r="D80" s="334"/>
      <c r="E80" s="334"/>
      <c r="F80" s="334"/>
      <c r="G80" s="334"/>
      <c r="H80" s="334"/>
      <c r="I80" s="334"/>
      <c r="J80" s="334"/>
      <c r="K80" s="334"/>
      <c r="L80" s="61"/>
    </row>
    <row r="81" spans="1:12" s="53" customFormat="1" ht="12" customHeight="1">
      <c r="A81" s="60"/>
      <c r="B81" s="60"/>
      <c r="C81" s="104"/>
      <c r="D81" s="104"/>
      <c r="E81" s="104"/>
      <c r="F81" s="104"/>
      <c r="G81" s="104"/>
      <c r="H81" s="104"/>
      <c r="I81" s="104"/>
      <c r="J81" s="104"/>
      <c r="K81" s="104"/>
      <c r="L81" s="61"/>
    </row>
    <row r="82" spans="1:12" s="53" customFormat="1" ht="15.75" customHeight="1">
      <c r="A82" s="60"/>
      <c r="B82" s="60"/>
      <c r="C82" s="326" t="s">
        <v>181</v>
      </c>
      <c r="D82" s="326"/>
      <c r="E82" s="326"/>
      <c r="F82" s="326"/>
      <c r="G82" s="104">
        <v>0.499</v>
      </c>
      <c r="H82" s="104"/>
      <c r="I82" s="104" t="s">
        <v>182</v>
      </c>
      <c r="J82" s="104"/>
      <c r="K82" s="104"/>
      <c r="L82" s="61"/>
    </row>
    <row r="83" spans="1:12" s="53" customFormat="1" ht="14.25" customHeight="1">
      <c r="A83" s="60"/>
      <c r="B83" s="60"/>
      <c r="C83" s="327" t="s">
        <v>183</v>
      </c>
      <c r="D83" s="326"/>
      <c r="E83" s="326"/>
      <c r="F83" s="326"/>
      <c r="G83" s="104"/>
      <c r="H83" s="104"/>
      <c r="I83" s="104"/>
      <c r="J83" s="104"/>
      <c r="K83" s="104"/>
      <c r="L83" s="61"/>
    </row>
    <row r="84" spans="1:12" s="53" customFormat="1" ht="14.25" customHeight="1">
      <c r="A84" s="60"/>
      <c r="B84" s="60"/>
      <c r="C84" s="113"/>
      <c r="D84" s="107"/>
      <c r="E84" s="107"/>
      <c r="F84" s="107"/>
      <c r="G84" s="104"/>
      <c r="H84" s="104"/>
      <c r="I84" s="104"/>
      <c r="J84" s="104"/>
      <c r="K84" s="104"/>
      <c r="L84" s="61"/>
    </row>
    <row r="85" spans="1:12" s="53" customFormat="1" ht="14.25" customHeight="1">
      <c r="A85" s="60"/>
      <c r="B85" s="60"/>
      <c r="C85" s="326" t="s">
        <v>185</v>
      </c>
      <c r="D85" s="326"/>
      <c r="E85" s="326"/>
      <c r="F85" s="326"/>
      <c r="G85" s="114" t="str">
        <f>IF(ISERR(G82*G74)=TRUE,"-",G82*G74)</f>
        <v>-</v>
      </c>
      <c r="H85" s="115"/>
      <c r="I85" s="115" t="s">
        <v>184</v>
      </c>
      <c r="J85" s="104"/>
      <c r="K85" s="104"/>
      <c r="L85" s="61"/>
    </row>
    <row r="86" spans="1:12" s="53" customFormat="1" ht="14.25" customHeight="1">
      <c r="A86" s="60"/>
      <c r="B86" s="60"/>
      <c r="C86" s="113"/>
      <c r="D86" s="107"/>
      <c r="E86" s="107"/>
      <c r="F86" s="107"/>
      <c r="G86" s="104"/>
      <c r="H86" s="104"/>
      <c r="I86" s="104"/>
      <c r="J86" s="104"/>
      <c r="K86" s="104"/>
      <c r="L86" s="61"/>
    </row>
    <row r="87" spans="1:12" s="53" customFormat="1" ht="15.75" customHeight="1">
      <c r="A87" s="60"/>
      <c r="B87" s="60"/>
      <c r="C87" s="104"/>
      <c r="D87" s="104"/>
      <c r="E87" s="104"/>
      <c r="F87" s="104"/>
      <c r="G87" s="104"/>
      <c r="H87" s="104"/>
      <c r="I87" s="104"/>
      <c r="J87" s="104"/>
      <c r="K87" s="104"/>
      <c r="L87" s="61"/>
    </row>
    <row r="88" spans="1:12">
      <c r="D88" s="337"/>
      <c r="E88" s="338"/>
      <c r="G88" s="57"/>
      <c r="I88" s="57"/>
      <c r="J88" s="58"/>
    </row>
  </sheetData>
  <mergeCells count="24">
    <mergeCell ref="D88:E88"/>
    <mergeCell ref="B2:K2"/>
    <mergeCell ref="B5:K5"/>
    <mergeCell ref="B14:K14"/>
    <mergeCell ref="B32:K32"/>
    <mergeCell ref="B36:K36"/>
    <mergeCell ref="B47:K47"/>
    <mergeCell ref="B52:K52"/>
    <mergeCell ref="C11:J11"/>
    <mergeCell ref="B45:K45"/>
    <mergeCell ref="B57:K57"/>
    <mergeCell ref="C59:K59"/>
    <mergeCell ref="C83:F83"/>
    <mergeCell ref="C85:F85"/>
    <mergeCell ref="C72:K72"/>
    <mergeCell ref="B76:K76"/>
    <mergeCell ref="C55:K55"/>
    <mergeCell ref="B80:K80"/>
    <mergeCell ref="C78:F78"/>
    <mergeCell ref="C82:F82"/>
    <mergeCell ref="C65:J65"/>
    <mergeCell ref="D69:J69"/>
    <mergeCell ref="D67:K67"/>
    <mergeCell ref="C70:F70"/>
  </mergeCells>
  <hyperlinks>
    <hyperlink ref="C83" r:id="rId1"/>
  </hyperlinks>
  <printOptions horizontalCentered="1" verticalCentered="1"/>
  <pageMargins left="0.19685039370078741" right="0.19685039370078741" top="1.6041666666666667" bottom="0.19685039370078741" header="0.19685039370078741" footer="0.19685039370078741"/>
  <pageSetup paperSize="9" scale="70" orientation="portrait" horizontalDpi="355" verticalDpi="464" r:id="rId2"/>
  <headerFooter alignWithMargins="0">
    <oddHeader>&amp;C&amp;G&amp;R&amp;"Arial,Negrita Cursiva"REFRIGERACIÓN</oddHeader>
  </headerFooter>
  <rowBreaks count="1" manualBreakCount="1">
    <brk id="56" max="11" man="1"/>
  </rowBreaks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7"/>
  <sheetViews>
    <sheetView topLeftCell="A49" zoomScaleNormal="100" zoomScalePageLayoutView="110" workbookViewId="0">
      <selection activeCell="C63" sqref="C63:K63"/>
    </sheetView>
  </sheetViews>
  <sheetFormatPr baseColWidth="10" defaultRowHeight="12.75" customHeight="1"/>
  <cols>
    <col min="1" max="1" width="2.7109375" style="119" customWidth="1"/>
    <col min="2" max="2" width="2.7109375" style="118" customWidth="1"/>
    <col min="3" max="3" width="11.7109375" style="119" customWidth="1"/>
    <col min="4" max="4" width="17.85546875" style="120" customWidth="1"/>
    <col min="5" max="5" width="11.7109375" style="121" customWidth="1"/>
    <col min="6" max="6" width="14.5703125" style="119" customWidth="1"/>
    <col min="7" max="7" width="11.7109375" style="119" customWidth="1"/>
    <col min="8" max="8" width="11.7109375" style="122" customWidth="1"/>
    <col min="9" max="9" width="11.7109375" style="123" customWidth="1"/>
    <col min="10" max="10" width="11.7109375" style="119" customWidth="1"/>
    <col min="11" max="11" width="2.7109375" style="119" customWidth="1"/>
    <col min="12" max="16384" width="11.42578125" style="119"/>
  </cols>
  <sheetData>
    <row r="1" spans="1:12" ht="12.75" customHeight="1">
      <c r="A1" s="159"/>
      <c r="B1" s="160"/>
      <c r="C1" s="159"/>
      <c r="D1" s="161"/>
      <c r="E1" s="162"/>
      <c r="F1" s="159"/>
      <c r="G1" s="159"/>
      <c r="H1" s="163"/>
      <c r="I1" s="164"/>
      <c r="J1" s="159"/>
      <c r="K1" s="159"/>
      <c r="L1" s="159"/>
    </row>
    <row r="2" spans="1:12" ht="39" customHeight="1">
      <c r="A2" s="125"/>
      <c r="B2" s="315" t="s">
        <v>191</v>
      </c>
      <c r="C2" s="343"/>
      <c r="D2" s="343"/>
      <c r="E2" s="343"/>
      <c r="F2" s="343"/>
      <c r="G2" s="343"/>
      <c r="H2" s="343"/>
      <c r="I2" s="343"/>
      <c r="J2" s="343"/>
      <c r="K2" s="343"/>
      <c r="L2" s="159"/>
    </row>
    <row r="3" spans="1:12" ht="12.75" customHeight="1">
      <c r="A3" s="159"/>
      <c r="B3" s="160"/>
      <c r="C3" s="159"/>
      <c r="D3" s="161"/>
      <c r="E3" s="162"/>
      <c r="F3" s="159"/>
      <c r="G3" s="159"/>
      <c r="H3" s="163"/>
      <c r="I3" s="164"/>
      <c r="J3" s="159"/>
      <c r="K3" s="159"/>
      <c r="L3" s="159"/>
    </row>
    <row r="4" spans="1:12" ht="16.5" customHeight="1">
      <c r="A4" s="344" t="s">
        <v>198</v>
      </c>
      <c r="B4" s="344"/>
      <c r="C4" s="344"/>
      <c r="D4" s="344"/>
      <c r="E4" s="344"/>
      <c r="F4" s="344"/>
      <c r="G4" s="344"/>
      <c r="H4" s="344"/>
      <c r="I4" s="344"/>
      <c r="J4" s="344"/>
      <c r="K4" s="159"/>
      <c r="L4" s="159"/>
    </row>
    <row r="5" spans="1:12" ht="12.75" customHeight="1">
      <c r="A5" s="159"/>
      <c r="B5" s="166"/>
      <c r="C5" s="167"/>
      <c r="D5" s="168"/>
      <c r="E5" s="169"/>
      <c r="F5" s="167"/>
      <c r="G5" s="167"/>
      <c r="H5" s="170"/>
      <c r="I5" s="171"/>
      <c r="J5" s="167"/>
      <c r="K5" s="167"/>
      <c r="L5" s="159"/>
    </row>
    <row r="6" spans="1:12" ht="18" customHeight="1">
      <c r="A6" s="159"/>
      <c r="B6" s="166"/>
      <c r="C6" s="173" t="s">
        <v>199</v>
      </c>
      <c r="D6" s="168"/>
      <c r="E6" s="169"/>
      <c r="F6" s="167"/>
      <c r="G6" s="167"/>
      <c r="H6" s="170"/>
      <c r="I6" s="171"/>
      <c r="J6" s="167"/>
      <c r="K6" s="167"/>
      <c r="L6" s="159"/>
    </row>
    <row r="7" spans="1:12" ht="12.75" customHeight="1">
      <c r="A7" s="167"/>
      <c r="B7" s="166"/>
      <c r="C7" s="174"/>
      <c r="D7" s="172" t="s">
        <v>139</v>
      </c>
      <c r="E7" s="174"/>
      <c r="F7" s="174"/>
      <c r="G7" s="271">
        <f>'1. Datos de entrada'!E175</f>
        <v>0</v>
      </c>
      <c r="H7" s="177" t="s">
        <v>78</v>
      </c>
      <c r="I7" s="174"/>
      <c r="J7" s="174"/>
      <c r="K7" s="167"/>
      <c r="L7" s="159"/>
    </row>
    <row r="8" spans="1:12" ht="5.25" customHeight="1">
      <c r="A8" s="167"/>
      <c r="B8" s="166"/>
      <c r="C8" s="174"/>
      <c r="D8" s="172"/>
      <c r="E8" s="174"/>
      <c r="F8" s="174"/>
      <c r="G8" s="179"/>
      <c r="H8" s="177"/>
      <c r="I8" s="174"/>
      <c r="J8" s="174"/>
      <c r="K8" s="167"/>
      <c r="L8" s="159"/>
    </row>
    <row r="9" spans="1:12" ht="12.75" customHeight="1">
      <c r="A9" s="167"/>
      <c r="B9" s="166"/>
      <c r="C9" s="174"/>
      <c r="D9" s="172" t="s">
        <v>141</v>
      </c>
      <c r="E9" s="162"/>
      <c r="F9" s="162"/>
      <c r="G9" s="271">
        <f>'1. Datos de entrada'!E174</f>
        <v>0</v>
      </c>
      <c r="H9" s="177" t="s">
        <v>78</v>
      </c>
      <c r="I9" s="174"/>
      <c r="J9" s="174"/>
      <c r="K9" s="167"/>
      <c r="L9" s="159"/>
    </row>
    <row r="10" spans="1:12" ht="7.5" customHeight="1">
      <c r="A10" s="167"/>
      <c r="B10" s="166"/>
      <c r="C10" s="174"/>
      <c r="D10" s="172"/>
      <c r="E10" s="174"/>
      <c r="F10" s="174"/>
      <c r="G10" s="179"/>
      <c r="H10" s="177"/>
      <c r="I10" s="174"/>
      <c r="J10" s="174"/>
      <c r="K10" s="167"/>
      <c r="L10" s="159"/>
    </row>
    <row r="11" spans="1:12" ht="12.75" customHeight="1">
      <c r="A11" s="167"/>
      <c r="B11" s="166"/>
      <c r="C11" s="174"/>
      <c r="D11" s="172" t="s">
        <v>140</v>
      </c>
      <c r="E11" s="162"/>
      <c r="F11" s="162"/>
      <c r="G11" s="271">
        <f>'1. Datos de entrada'!E173</f>
        <v>0</v>
      </c>
      <c r="H11" s="177" t="s">
        <v>78</v>
      </c>
      <c r="I11" s="174"/>
      <c r="J11" s="174"/>
      <c r="K11" s="167"/>
      <c r="L11" s="159"/>
    </row>
    <row r="12" spans="1:12" ht="4.5" customHeight="1">
      <c r="A12" s="167"/>
      <c r="B12" s="166"/>
      <c r="C12" s="165"/>
      <c r="D12" s="169"/>
      <c r="E12" s="162"/>
      <c r="F12" s="162"/>
      <c r="G12" s="180"/>
      <c r="H12" s="177"/>
      <c r="I12" s="174"/>
      <c r="J12" s="174"/>
      <c r="K12" s="167"/>
      <c r="L12" s="159"/>
    </row>
    <row r="13" spans="1:12" ht="12.75" customHeight="1">
      <c r="A13" s="167"/>
      <c r="B13" s="166"/>
      <c r="C13" s="174"/>
      <c r="D13" s="172" t="s">
        <v>200</v>
      </c>
      <c r="E13" s="162"/>
      <c r="F13" s="162"/>
      <c r="G13" s="244">
        <f>G7*G9*G11</f>
        <v>0</v>
      </c>
      <c r="H13" s="177" t="s">
        <v>123</v>
      </c>
      <c r="I13" s="174"/>
      <c r="J13" s="174"/>
      <c r="K13" s="167"/>
      <c r="L13" s="159"/>
    </row>
    <row r="14" spans="1:12" ht="12.75" customHeight="1">
      <c r="A14" s="167"/>
      <c r="B14" s="166"/>
      <c r="C14" s="162"/>
      <c r="D14" s="162"/>
      <c r="E14" s="162"/>
      <c r="F14" s="174"/>
      <c r="G14" s="174"/>
      <c r="H14" s="174"/>
      <c r="I14" s="174"/>
      <c r="J14" s="174"/>
      <c r="K14" s="167"/>
      <c r="L14" s="159"/>
    </row>
    <row r="15" spans="1:12" ht="16.5" customHeight="1">
      <c r="A15" s="167"/>
      <c r="B15" s="166"/>
      <c r="C15" s="173" t="s">
        <v>201</v>
      </c>
      <c r="D15" s="174"/>
      <c r="E15" s="174"/>
      <c r="F15" s="174"/>
      <c r="G15" s="174"/>
      <c r="H15" s="174"/>
      <c r="I15" s="174"/>
      <c r="J15" s="174"/>
      <c r="K15" s="167"/>
      <c r="L15" s="159"/>
    </row>
    <row r="16" spans="1:12" ht="12.75" customHeight="1">
      <c r="A16" s="167"/>
      <c r="B16" s="166"/>
      <c r="C16" s="174"/>
      <c r="D16" s="172" t="s">
        <v>202</v>
      </c>
      <c r="E16" s="169"/>
      <c r="F16" s="169"/>
      <c r="G16" s="271">
        <f>'1. Datos de entrada'!E182</f>
        <v>0</v>
      </c>
      <c r="H16" s="177" t="s">
        <v>124</v>
      </c>
      <c r="I16" s="174"/>
      <c r="J16" s="174"/>
      <c r="K16" s="167"/>
      <c r="L16" s="159"/>
    </row>
    <row r="17" spans="1:12" ht="5.25" customHeight="1">
      <c r="A17" s="167"/>
      <c r="B17" s="166"/>
      <c r="C17" s="174"/>
      <c r="D17" s="172"/>
      <c r="E17" s="169"/>
      <c r="F17" s="169"/>
      <c r="G17" s="179"/>
      <c r="H17" s="177"/>
      <c r="I17" s="174"/>
      <c r="J17" s="174"/>
      <c r="K17" s="167"/>
      <c r="L17" s="159"/>
    </row>
    <row r="18" spans="1:12" ht="12.75" customHeight="1">
      <c r="A18" s="167"/>
      <c r="B18" s="166"/>
      <c r="C18" s="174"/>
      <c r="D18" s="172" t="s">
        <v>203</v>
      </c>
      <c r="E18" s="169"/>
      <c r="F18" s="169"/>
      <c r="G18" s="227">
        <v>0</v>
      </c>
      <c r="H18" s="177" t="s">
        <v>186</v>
      </c>
      <c r="I18" s="174"/>
      <c r="J18" s="174"/>
      <c r="K18" s="167"/>
      <c r="L18" s="159"/>
    </row>
    <row r="19" spans="1:12" ht="12.75" customHeight="1">
      <c r="A19" s="167"/>
      <c r="B19" s="166"/>
      <c r="C19" s="162"/>
      <c r="D19" s="162"/>
      <c r="E19" s="162"/>
      <c r="F19" s="174"/>
      <c r="G19" s="174"/>
      <c r="H19" s="174"/>
      <c r="I19" s="174"/>
      <c r="J19" s="174"/>
      <c r="K19" s="167"/>
      <c r="L19" s="159"/>
    </row>
    <row r="20" spans="1:12" ht="18" customHeight="1">
      <c r="A20" s="167"/>
      <c r="B20" s="166"/>
      <c r="C20" s="173" t="s">
        <v>204</v>
      </c>
      <c r="D20" s="174"/>
      <c r="E20" s="174"/>
      <c r="F20" s="174"/>
      <c r="G20" s="174"/>
      <c r="H20" s="174"/>
      <c r="I20" s="174"/>
      <c r="J20" s="174"/>
      <c r="K20" s="167"/>
      <c r="L20" s="159"/>
    </row>
    <row r="21" spans="1:12" ht="4.5" customHeight="1">
      <c r="A21" s="167"/>
      <c r="B21" s="166"/>
      <c r="C21" s="176"/>
      <c r="D21" s="225"/>
      <c r="E21" s="226"/>
      <c r="F21" s="226"/>
      <c r="G21" s="226"/>
      <c r="H21" s="226"/>
      <c r="I21" s="226"/>
      <c r="J21" s="226"/>
      <c r="K21" s="167"/>
      <c r="L21" s="159"/>
    </row>
    <row r="22" spans="1:12" ht="16.5" customHeight="1">
      <c r="A22" s="167"/>
      <c r="B22" s="166"/>
      <c r="C22" s="176"/>
      <c r="D22" s="79" t="s">
        <v>449</v>
      </c>
      <c r="E22" s="65"/>
      <c r="F22" s="76"/>
      <c r="G22" s="227">
        <v>2.5</v>
      </c>
      <c r="H22" s="119"/>
      <c r="I22" s="62"/>
      <c r="J22" s="62"/>
      <c r="K22" s="167"/>
      <c r="L22" s="159"/>
    </row>
    <row r="23" spans="1:12" ht="15" customHeight="1">
      <c r="A23" s="167"/>
      <c r="B23" s="166"/>
      <c r="C23" s="176"/>
      <c r="D23" s="97" t="s">
        <v>153</v>
      </c>
      <c r="E23" s="65"/>
      <c r="F23" s="76"/>
      <c r="G23" s="76"/>
      <c r="H23" s="92"/>
      <c r="I23" s="62"/>
      <c r="J23" s="62"/>
      <c r="K23" s="167"/>
      <c r="L23" s="159"/>
    </row>
    <row r="24" spans="1:12" ht="12.75" customHeight="1">
      <c r="A24" s="167"/>
      <c r="B24" s="166"/>
      <c r="C24" s="176"/>
      <c r="D24" s="107"/>
      <c r="E24" s="107"/>
      <c r="F24" s="107"/>
      <c r="G24" s="104"/>
      <c r="H24" s="108"/>
      <c r="I24" s="62"/>
      <c r="J24" s="62"/>
      <c r="K24" s="167"/>
      <c r="L24" s="159"/>
    </row>
    <row r="25" spans="1:12" ht="16.5" customHeight="1">
      <c r="A25" s="167"/>
      <c r="B25" s="166"/>
      <c r="C25" s="176"/>
      <c r="D25" s="225"/>
      <c r="E25" s="226"/>
      <c r="F25" s="226"/>
      <c r="G25" s="226"/>
      <c r="H25" s="226"/>
      <c r="I25" s="226"/>
      <c r="J25" s="226"/>
      <c r="K25" s="167"/>
      <c r="L25" s="159"/>
    </row>
    <row r="26" spans="1:12" ht="17.25" customHeight="1">
      <c r="A26" s="344" t="s">
        <v>430</v>
      </c>
      <c r="B26" s="344"/>
      <c r="C26" s="344"/>
      <c r="D26" s="344"/>
      <c r="E26" s="344"/>
      <c r="F26" s="344"/>
      <c r="G26" s="344"/>
      <c r="H26" s="344"/>
      <c r="I26" s="344"/>
      <c r="J26" s="344"/>
      <c r="K26" s="167"/>
      <c r="L26" s="159"/>
    </row>
    <row r="27" spans="1:12" ht="9" customHeight="1">
      <c r="A27" s="167"/>
      <c r="B27" s="166"/>
      <c r="C27" s="176"/>
      <c r="D27" s="225"/>
      <c r="E27" s="226"/>
      <c r="F27" s="226"/>
      <c r="G27" s="226"/>
      <c r="H27" s="226"/>
      <c r="I27" s="226"/>
      <c r="J27" s="226"/>
      <c r="K27" s="167"/>
      <c r="L27" s="159"/>
    </row>
    <row r="28" spans="1:12" ht="16.5" customHeight="1">
      <c r="A28" s="167"/>
      <c r="B28" s="166"/>
      <c r="C28" s="174"/>
      <c r="D28" s="167" t="s">
        <v>431</v>
      </c>
      <c r="E28" s="174"/>
      <c r="F28" s="174"/>
      <c r="G28" s="227">
        <v>0</v>
      </c>
      <c r="H28" s="177" t="s">
        <v>78</v>
      </c>
      <c r="I28" s="226"/>
      <c r="J28" s="226"/>
      <c r="K28" s="167"/>
      <c r="L28" s="159"/>
    </row>
    <row r="29" spans="1:12" ht="3.75" customHeight="1">
      <c r="A29" s="167"/>
      <c r="B29" s="166"/>
      <c r="C29" s="174"/>
      <c r="D29" s="167"/>
      <c r="E29" s="174"/>
      <c r="F29" s="174"/>
      <c r="G29" s="162"/>
      <c r="H29" s="174"/>
      <c r="I29" s="226"/>
      <c r="J29" s="226"/>
      <c r="K29" s="167"/>
      <c r="L29" s="159"/>
    </row>
    <row r="30" spans="1:12" ht="16.5" customHeight="1">
      <c r="A30" s="167"/>
      <c r="B30" s="166"/>
      <c r="C30" s="174"/>
      <c r="D30" s="229" t="s">
        <v>432</v>
      </c>
      <c r="E30" s="162"/>
      <c r="F30" s="162"/>
      <c r="G30" s="227">
        <v>0</v>
      </c>
      <c r="H30" s="177" t="s">
        <v>78</v>
      </c>
      <c r="I30" s="226"/>
      <c r="J30" s="226"/>
      <c r="K30" s="167"/>
      <c r="L30" s="159"/>
    </row>
    <row r="31" spans="1:12" ht="6" customHeight="1">
      <c r="A31" s="167"/>
      <c r="B31" s="166"/>
      <c r="C31" s="174"/>
      <c r="D31" s="169"/>
      <c r="E31" s="162"/>
      <c r="F31" s="162"/>
      <c r="G31" s="174"/>
      <c r="H31" s="162"/>
      <c r="I31" s="174"/>
      <c r="J31" s="226"/>
      <c r="K31" s="167"/>
      <c r="L31" s="159"/>
    </row>
    <row r="32" spans="1:12" ht="16.5" customHeight="1">
      <c r="A32" s="167"/>
      <c r="B32" s="166"/>
      <c r="C32" s="174"/>
      <c r="D32" s="172" t="s">
        <v>433</v>
      </c>
      <c r="E32" s="162"/>
      <c r="F32" s="162"/>
      <c r="G32" s="244">
        <f>G30*G28</f>
        <v>0</v>
      </c>
      <c r="H32" s="177" t="s">
        <v>122</v>
      </c>
      <c r="I32" s="226"/>
      <c r="J32" s="226"/>
      <c r="K32" s="167"/>
      <c r="L32" s="159"/>
    </row>
    <row r="33" spans="1:12" ht="12.75" customHeight="1">
      <c r="A33" s="167"/>
      <c r="B33" s="166"/>
      <c r="C33" s="174"/>
      <c r="D33" s="159"/>
      <c r="E33" s="174"/>
      <c r="F33" s="174"/>
      <c r="G33" s="162"/>
      <c r="H33" s="174"/>
      <c r="I33" s="226"/>
      <c r="J33" s="226"/>
      <c r="K33" s="167"/>
      <c r="L33" s="159"/>
    </row>
    <row r="34" spans="1:12" ht="12.75" customHeight="1">
      <c r="A34" s="167"/>
      <c r="B34" s="166"/>
      <c r="C34" s="174"/>
      <c r="D34" s="230"/>
      <c r="E34" s="162"/>
      <c r="F34" s="162"/>
      <c r="G34" s="231"/>
      <c r="H34" s="180"/>
      <c r="I34" s="228"/>
      <c r="J34" s="167"/>
      <c r="K34" s="167"/>
      <c r="L34" s="159"/>
    </row>
    <row r="35" spans="1:12" ht="18" customHeight="1">
      <c r="A35" s="345" t="s">
        <v>146</v>
      </c>
      <c r="B35" s="345"/>
      <c r="C35" s="345"/>
      <c r="D35" s="345"/>
      <c r="E35" s="345"/>
      <c r="F35" s="345"/>
      <c r="G35" s="345"/>
      <c r="H35" s="345"/>
      <c r="I35" s="345"/>
      <c r="J35" s="345"/>
      <c r="K35" s="167"/>
      <c r="L35" s="159"/>
    </row>
    <row r="36" spans="1:12" ht="12.75" customHeight="1">
      <c r="A36" s="167"/>
      <c r="B36" s="166"/>
      <c r="C36" s="174"/>
      <c r="D36" s="174"/>
      <c r="E36" s="174"/>
      <c r="F36" s="174"/>
      <c r="G36" s="174"/>
      <c r="H36" s="174"/>
      <c r="I36" s="174"/>
      <c r="J36" s="174"/>
      <c r="K36" s="167"/>
      <c r="L36" s="159"/>
    </row>
    <row r="37" spans="1:12" ht="12.75" customHeight="1">
      <c r="A37" s="167"/>
      <c r="B37" s="166"/>
      <c r="C37" s="232"/>
      <c r="D37" s="172" t="s">
        <v>438</v>
      </c>
      <c r="E37" s="162"/>
      <c r="F37" s="232"/>
      <c r="G37" s="245">
        <v>0</v>
      </c>
      <c r="H37" s="180" t="s">
        <v>124</v>
      </c>
      <c r="I37" s="174"/>
      <c r="J37" s="174"/>
      <c r="K37" s="167"/>
      <c r="L37" s="159"/>
    </row>
    <row r="38" spans="1:12" ht="7.5" customHeight="1">
      <c r="A38" s="167"/>
      <c r="B38" s="166"/>
      <c r="C38" s="232"/>
      <c r="D38" s="172"/>
      <c r="E38" s="162"/>
      <c r="F38" s="162"/>
      <c r="G38" s="174"/>
      <c r="H38" s="174"/>
      <c r="I38" s="174"/>
      <c r="J38" s="174"/>
      <c r="K38" s="167"/>
      <c r="L38" s="159"/>
    </row>
    <row r="39" spans="1:12" ht="12.75" customHeight="1">
      <c r="A39" s="167"/>
      <c r="B39" s="166"/>
      <c r="C39" s="232"/>
      <c r="D39" s="172" t="s">
        <v>439</v>
      </c>
      <c r="E39" s="162"/>
      <c r="F39" s="232"/>
      <c r="G39" s="245">
        <v>0</v>
      </c>
      <c r="H39" s="180" t="s">
        <v>186</v>
      </c>
      <c r="I39" s="174"/>
      <c r="J39" s="174"/>
      <c r="K39" s="167"/>
      <c r="L39" s="159"/>
    </row>
    <row r="40" spans="1:12" ht="12.75" customHeight="1">
      <c r="A40" s="167"/>
      <c r="B40" s="166"/>
      <c r="C40" s="174"/>
      <c r="D40" s="230"/>
      <c r="E40" s="162"/>
      <c r="F40" s="162"/>
      <c r="G40" s="231"/>
      <c r="H40" s="180"/>
      <c r="I40" s="228"/>
      <c r="J40" s="167"/>
      <c r="K40" s="167"/>
      <c r="L40" s="159"/>
    </row>
    <row r="41" spans="1:12" ht="12.75" customHeight="1">
      <c r="A41" s="167"/>
      <c r="B41" s="166"/>
      <c r="C41" s="174"/>
      <c r="D41" s="230"/>
      <c r="E41" s="162"/>
      <c r="F41" s="162"/>
      <c r="G41" s="231"/>
      <c r="H41" s="180"/>
      <c r="I41" s="228"/>
      <c r="J41" s="167"/>
      <c r="K41" s="167"/>
      <c r="L41" s="159"/>
    </row>
    <row r="42" spans="1:12" ht="15.75" customHeight="1">
      <c r="A42" s="345" t="s">
        <v>440</v>
      </c>
      <c r="B42" s="345"/>
      <c r="C42" s="345"/>
      <c r="D42" s="345"/>
      <c r="E42" s="345"/>
      <c r="F42" s="345"/>
      <c r="G42" s="345"/>
      <c r="H42" s="345"/>
      <c r="I42" s="345"/>
      <c r="J42" s="345"/>
      <c r="K42" s="167"/>
      <c r="L42" s="159"/>
    </row>
    <row r="43" spans="1:12" ht="12.75" customHeight="1">
      <c r="A43" s="167"/>
      <c r="B43" s="166"/>
      <c r="C43" s="174"/>
      <c r="D43" s="230"/>
      <c r="E43" s="162"/>
      <c r="F43" s="162"/>
      <c r="G43" s="231"/>
      <c r="H43" s="180"/>
      <c r="I43" s="228"/>
      <c r="J43" s="167"/>
      <c r="K43" s="167"/>
      <c r="L43" s="159"/>
    </row>
    <row r="44" spans="1:12" ht="15.75" customHeight="1">
      <c r="A44" s="167"/>
      <c r="B44" s="166"/>
      <c r="C44" s="173" t="s">
        <v>441</v>
      </c>
      <c r="D44" s="174"/>
      <c r="E44" s="174"/>
      <c r="F44" s="174"/>
      <c r="G44" s="174"/>
      <c r="H44" s="174"/>
      <c r="I44" s="226"/>
      <c r="J44" s="167"/>
      <c r="K44" s="167"/>
      <c r="L44" s="159"/>
    </row>
    <row r="45" spans="1:12" ht="12.75" customHeight="1">
      <c r="A45" s="167"/>
      <c r="B45" s="166"/>
      <c r="C45" s="174"/>
      <c r="D45" s="229" t="s">
        <v>434</v>
      </c>
      <c r="E45" s="169"/>
      <c r="F45" s="169"/>
      <c r="G45" s="245">
        <v>0</v>
      </c>
      <c r="H45" s="180" t="s">
        <v>188</v>
      </c>
      <c r="I45" s="234"/>
      <c r="J45" s="167"/>
      <c r="K45" s="167"/>
      <c r="L45" s="159"/>
    </row>
    <row r="46" spans="1:12" ht="4.5" customHeight="1">
      <c r="A46" s="167"/>
      <c r="B46" s="166"/>
      <c r="C46" s="174"/>
      <c r="D46" s="229"/>
      <c r="E46" s="169"/>
      <c r="F46" s="169"/>
      <c r="G46" s="169"/>
      <c r="H46" s="180"/>
      <c r="I46" s="228"/>
      <c r="J46" s="167"/>
      <c r="K46" s="167"/>
      <c r="L46" s="159"/>
    </row>
    <row r="47" spans="1:12" ht="12.75" customHeight="1">
      <c r="A47" s="167"/>
      <c r="B47" s="166"/>
      <c r="C47" s="174"/>
      <c r="D47" s="229" t="s">
        <v>435</v>
      </c>
      <c r="E47" s="169"/>
      <c r="F47" s="169"/>
      <c r="G47" s="245">
        <v>0</v>
      </c>
      <c r="H47" s="347" t="s">
        <v>436</v>
      </c>
      <c r="I47" s="347"/>
      <c r="J47" s="167"/>
      <c r="K47" s="167"/>
      <c r="L47" s="159"/>
    </row>
    <row r="48" spans="1:12" ht="5.25" customHeight="1">
      <c r="A48" s="167"/>
      <c r="B48" s="166"/>
      <c r="C48" s="174"/>
      <c r="D48" s="229"/>
      <c r="E48" s="169"/>
      <c r="F48" s="169"/>
      <c r="G48" s="169"/>
      <c r="H48" s="180"/>
      <c r="I48" s="228"/>
      <c r="J48" s="167"/>
      <c r="K48" s="167"/>
      <c r="L48" s="159"/>
    </row>
    <row r="49" spans="1:12" ht="26.25" customHeight="1">
      <c r="A49" s="167"/>
      <c r="B49" s="166"/>
      <c r="C49" s="174"/>
      <c r="D49" s="347" t="s">
        <v>479</v>
      </c>
      <c r="E49" s="347"/>
      <c r="F49" s="347"/>
      <c r="G49" s="245">
        <v>0</v>
      </c>
      <c r="H49" s="180" t="s">
        <v>437</v>
      </c>
      <c r="I49" s="228"/>
      <c r="J49" s="167"/>
      <c r="K49" s="167"/>
      <c r="L49" s="159"/>
    </row>
    <row r="50" spans="1:12" ht="12.75" customHeight="1">
      <c r="A50" s="167"/>
      <c r="B50" s="166"/>
      <c r="C50" s="174"/>
      <c r="D50" s="230"/>
      <c r="E50" s="162"/>
      <c r="F50" s="162"/>
      <c r="G50" s="231"/>
      <c r="H50" s="180"/>
      <c r="I50" s="228"/>
      <c r="J50" s="167"/>
      <c r="K50" s="167"/>
      <c r="L50" s="159"/>
    </row>
    <row r="51" spans="1:12" ht="12.75" customHeight="1">
      <c r="A51" s="167"/>
      <c r="B51" s="166"/>
      <c r="C51" s="174"/>
      <c r="D51" s="230"/>
      <c r="E51" s="162"/>
      <c r="F51" s="162"/>
      <c r="G51" s="231"/>
      <c r="H51" s="180"/>
      <c r="I51" s="228"/>
      <c r="J51" s="167"/>
      <c r="K51" s="167"/>
      <c r="L51" s="159"/>
    </row>
    <row r="52" spans="1:12" ht="19.5" customHeight="1">
      <c r="A52" s="167"/>
      <c r="B52" s="166"/>
      <c r="C52" s="173" t="s">
        <v>442</v>
      </c>
      <c r="D52" s="230"/>
      <c r="E52" s="162"/>
      <c r="F52" s="162"/>
      <c r="G52" s="231"/>
      <c r="H52" s="180"/>
      <c r="I52" s="228"/>
      <c r="J52" s="167"/>
      <c r="K52" s="167"/>
      <c r="L52" s="159"/>
    </row>
    <row r="53" spans="1:12" ht="12.75" customHeight="1">
      <c r="A53" s="167"/>
      <c r="B53" s="166"/>
      <c r="C53" s="174"/>
      <c r="D53" s="229" t="s">
        <v>434</v>
      </c>
      <c r="E53" s="169"/>
      <c r="F53" s="169"/>
      <c r="G53" s="245">
        <v>0</v>
      </c>
      <c r="H53" s="180" t="s">
        <v>188</v>
      </c>
      <c r="I53" s="234"/>
      <c r="J53" s="167"/>
      <c r="K53" s="167"/>
      <c r="L53" s="159"/>
    </row>
    <row r="54" spans="1:12" ht="5.25" customHeight="1">
      <c r="A54" s="167"/>
      <c r="B54" s="166"/>
      <c r="C54" s="174"/>
      <c r="D54" s="229"/>
      <c r="E54" s="169"/>
      <c r="F54" s="169"/>
      <c r="G54" s="169"/>
      <c r="H54" s="180"/>
      <c r="I54" s="228"/>
      <c r="J54" s="167"/>
      <c r="K54" s="167"/>
      <c r="L54" s="159"/>
    </row>
    <row r="55" spans="1:12" ht="12.75" customHeight="1">
      <c r="A55" s="167"/>
      <c r="B55" s="166"/>
      <c r="C55" s="174"/>
      <c r="D55" s="229" t="s">
        <v>435</v>
      </c>
      <c r="E55" s="169"/>
      <c r="F55" s="169"/>
      <c r="G55" s="245">
        <v>0</v>
      </c>
      <c r="H55" s="347" t="s">
        <v>436</v>
      </c>
      <c r="I55" s="347"/>
      <c r="J55" s="167"/>
      <c r="K55" s="167"/>
      <c r="L55" s="159"/>
    </row>
    <row r="56" spans="1:12" ht="4.5" customHeight="1">
      <c r="A56" s="167"/>
      <c r="B56" s="166"/>
      <c r="C56" s="174"/>
      <c r="D56" s="229"/>
      <c r="E56" s="169"/>
      <c r="F56" s="169"/>
      <c r="G56" s="169"/>
      <c r="H56" s="180"/>
      <c r="I56" s="228"/>
      <c r="J56" s="167"/>
      <c r="K56" s="167"/>
      <c r="L56" s="159"/>
    </row>
    <row r="57" spans="1:12" ht="30.75" customHeight="1">
      <c r="A57" s="167"/>
      <c r="B57" s="166"/>
      <c r="C57" s="174"/>
      <c r="D57" s="347" t="s">
        <v>479</v>
      </c>
      <c r="E57" s="347"/>
      <c r="F57" s="347"/>
      <c r="G57" s="245">
        <v>0</v>
      </c>
      <c r="H57" s="180" t="s">
        <v>437</v>
      </c>
      <c r="I57" s="228"/>
      <c r="J57" s="167"/>
      <c r="K57" s="167"/>
      <c r="L57" s="159"/>
    </row>
    <row r="58" spans="1:12" ht="12.75" customHeight="1">
      <c r="A58" s="167"/>
      <c r="B58" s="166"/>
      <c r="C58" s="174"/>
      <c r="D58" s="229"/>
      <c r="E58" s="169"/>
      <c r="F58" s="169"/>
      <c r="G58" s="231"/>
      <c r="H58" s="180"/>
      <c r="I58" s="228"/>
      <c r="J58" s="167"/>
      <c r="K58" s="167"/>
      <c r="L58" s="159"/>
    </row>
    <row r="59" spans="1:12" ht="12.75" customHeight="1">
      <c r="A59" s="167"/>
      <c r="B59" s="166"/>
      <c r="C59" s="174"/>
      <c r="D59" s="229"/>
      <c r="E59" s="169"/>
      <c r="F59" s="169"/>
      <c r="G59" s="231"/>
      <c r="H59" s="180"/>
      <c r="I59" s="228"/>
      <c r="J59" s="167"/>
      <c r="K59" s="167"/>
      <c r="L59" s="159"/>
    </row>
    <row r="60" spans="1:12" ht="12.75" customHeight="1">
      <c r="A60" s="334" t="s">
        <v>450</v>
      </c>
      <c r="B60" s="334"/>
      <c r="C60" s="334"/>
      <c r="D60" s="334"/>
      <c r="E60" s="334"/>
      <c r="F60" s="334"/>
      <c r="G60" s="334"/>
      <c r="H60" s="334"/>
      <c r="I60" s="334"/>
      <c r="J60" s="334"/>
      <c r="K60" s="167"/>
      <c r="L60" s="159"/>
    </row>
    <row r="61" spans="1:12" ht="12.75" customHeight="1">
      <c r="A61" s="66"/>
      <c r="B61" s="66"/>
      <c r="C61" s="66"/>
      <c r="D61" s="67"/>
      <c r="E61" s="67"/>
      <c r="F61" s="73"/>
      <c r="G61" s="70"/>
      <c r="H61" s="62"/>
      <c r="I61" s="62"/>
      <c r="J61" s="62"/>
      <c r="K61" s="167"/>
      <c r="L61" s="159"/>
    </row>
    <row r="62" spans="1:12" ht="12.75" customHeight="1">
      <c r="A62" s="70"/>
      <c r="B62" s="247"/>
      <c r="C62" s="79" t="s">
        <v>155</v>
      </c>
      <c r="D62" s="76"/>
      <c r="E62" s="76"/>
      <c r="G62" s="246">
        <v>0</v>
      </c>
      <c r="H62" s="62" t="s">
        <v>156</v>
      </c>
      <c r="I62" s="94"/>
      <c r="J62" s="70"/>
      <c r="K62" s="167"/>
      <c r="L62" s="159"/>
    </row>
    <row r="63" spans="1:12" ht="27" customHeight="1">
      <c r="A63" s="99"/>
      <c r="B63" s="247"/>
      <c r="C63" s="314" t="s">
        <v>497</v>
      </c>
      <c r="D63" s="314"/>
      <c r="E63" s="314"/>
      <c r="F63" s="314"/>
      <c r="G63" s="314"/>
      <c r="H63" s="314"/>
      <c r="I63" s="314"/>
      <c r="J63" s="314"/>
      <c r="K63" s="314"/>
      <c r="L63" s="159"/>
    </row>
    <row r="64" spans="1:12" ht="12.75" customHeight="1">
      <c r="A64" s="167"/>
      <c r="B64" s="166"/>
      <c r="C64" s="174"/>
      <c r="D64" s="229"/>
      <c r="E64" s="169"/>
      <c r="F64" s="169"/>
      <c r="G64" s="231"/>
      <c r="H64" s="180"/>
      <c r="I64" s="228"/>
      <c r="J64" s="167"/>
      <c r="K64" s="167"/>
      <c r="L64" s="159"/>
    </row>
    <row r="65" spans="1:12" ht="12.75" customHeight="1">
      <c r="A65" s="167"/>
      <c r="B65" s="166"/>
      <c r="C65" s="174"/>
      <c r="D65" s="229"/>
      <c r="E65" s="169"/>
      <c r="F65" s="169"/>
      <c r="G65" s="231"/>
      <c r="H65" s="180"/>
      <c r="I65" s="228"/>
      <c r="J65" s="167"/>
      <c r="K65" s="167"/>
      <c r="L65" s="159"/>
    </row>
    <row r="66" spans="1:12" ht="15.75" customHeight="1">
      <c r="A66" s="345" t="s">
        <v>451</v>
      </c>
      <c r="B66" s="345"/>
      <c r="C66" s="345"/>
      <c r="D66" s="345"/>
      <c r="E66" s="345"/>
      <c r="F66" s="345"/>
      <c r="G66" s="345"/>
      <c r="H66" s="345"/>
      <c r="I66" s="345"/>
      <c r="J66" s="345"/>
      <c r="K66" s="167"/>
      <c r="L66" s="159"/>
    </row>
    <row r="67" spans="1:12" ht="12.75" customHeight="1">
      <c r="A67" s="167"/>
      <c r="B67" s="166"/>
      <c r="C67" s="174"/>
      <c r="D67" s="229"/>
      <c r="E67" s="169"/>
      <c r="F67" s="169"/>
      <c r="G67" s="231"/>
      <c r="H67" s="180"/>
      <c r="I67" s="228"/>
      <c r="J67" s="167"/>
      <c r="K67" s="167"/>
      <c r="L67" s="159"/>
    </row>
    <row r="68" spans="1:12" ht="21" customHeight="1">
      <c r="A68" s="167"/>
      <c r="B68" s="166"/>
      <c r="C68" s="173" t="s">
        <v>452</v>
      </c>
      <c r="D68" s="229"/>
      <c r="E68" s="169"/>
      <c r="F68" s="169"/>
      <c r="G68" s="231"/>
      <c r="H68" s="180"/>
      <c r="I68" s="228"/>
      <c r="J68" s="167"/>
      <c r="K68" s="167"/>
      <c r="L68" s="159"/>
    </row>
    <row r="69" spans="1:12" ht="33.75" customHeight="1">
      <c r="A69" s="167"/>
      <c r="B69" s="166"/>
      <c r="C69" s="347" t="s">
        <v>445</v>
      </c>
      <c r="D69" s="347"/>
      <c r="E69" s="347"/>
      <c r="F69" s="347"/>
      <c r="G69" s="269">
        <f>E119*G47*G49/3600</f>
        <v>0</v>
      </c>
      <c r="H69" s="229" t="s">
        <v>443</v>
      </c>
      <c r="I69" s="230"/>
      <c r="J69" s="230"/>
      <c r="K69" s="167"/>
      <c r="L69" s="159"/>
    </row>
    <row r="70" spans="1:12" ht="7.5" customHeight="1">
      <c r="A70" s="167"/>
      <c r="B70" s="166"/>
      <c r="C70" s="233"/>
      <c r="D70" s="233"/>
      <c r="E70" s="233"/>
      <c r="F70" s="233"/>
      <c r="G70" s="180"/>
      <c r="H70" s="229"/>
      <c r="I70" s="230"/>
      <c r="J70" s="230"/>
      <c r="K70" s="167"/>
      <c r="L70" s="159"/>
    </row>
    <row r="71" spans="1:12" ht="24.75" customHeight="1">
      <c r="A71" s="167"/>
      <c r="B71" s="166"/>
      <c r="C71" s="347" t="s">
        <v>444</v>
      </c>
      <c r="D71" s="347"/>
      <c r="E71" s="347"/>
      <c r="F71" s="347"/>
      <c r="G71" s="270">
        <f>((E105-E101)*E107-(G105-G101)*G107)*E115*G47*G49/3600</f>
        <v>0</v>
      </c>
      <c r="H71" s="229" t="s">
        <v>443</v>
      </c>
      <c r="I71" s="230"/>
      <c r="J71" s="230"/>
      <c r="K71" s="167"/>
      <c r="L71" s="159"/>
    </row>
    <row r="72" spans="1:12" ht="13.5" customHeight="1">
      <c r="A72" s="167"/>
      <c r="B72" s="166"/>
      <c r="C72" s="233"/>
      <c r="D72" s="233"/>
      <c r="E72" s="233"/>
      <c r="F72" s="233"/>
      <c r="G72" s="180"/>
      <c r="H72" s="229"/>
      <c r="I72" s="230"/>
      <c r="J72" s="230"/>
      <c r="K72" s="167"/>
      <c r="L72" s="159"/>
    </row>
    <row r="73" spans="1:12" ht="19.5" customHeight="1">
      <c r="A73" s="167"/>
      <c r="B73" s="166"/>
      <c r="C73" s="173" t="s">
        <v>453</v>
      </c>
      <c r="D73" s="233"/>
      <c r="E73" s="233"/>
      <c r="F73" s="233"/>
      <c r="G73" s="180"/>
      <c r="H73" s="229"/>
      <c r="I73" s="230"/>
      <c r="J73" s="230"/>
      <c r="K73" s="167"/>
      <c r="L73" s="159"/>
    </row>
    <row r="74" spans="1:12" ht="24.75" customHeight="1">
      <c r="A74" s="167"/>
      <c r="B74" s="166"/>
      <c r="C74" s="347" t="s">
        <v>445</v>
      </c>
      <c r="D74" s="347"/>
      <c r="E74" s="347"/>
      <c r="F74" s="347"/>
      <c r="G74" s="269">
        <f>G119*G55*G57/3600</f>
        <v>0</v>
      </c>
      <c r="H74" s="229" t="s">
        <v>443</v>
      </c>
      <c r="I74" s="230"/>
      <c r="J74" s="229"/>
      <c r="K74" s="167"/>
      <c r="L74" s="159"/>
    </row>
    <row r="75" spans="1:12" ht="3.75" customHeight="1">
      <c r="A75" s="167"/>
      <c r="B75" s="166"/>
      <c r="C75" s="237"/>
      <c r="D75" s="237"/>
      <c r="E75" s="237"/>
      <c r="F75" s="240"/>
      <c r="G75" s="237"/>
      <c r="H75" s="119"/>
      <c r="I75" s="237"/>
      <c r="J75" s="229"/>
      <c r="K75" s="167"/>
      <c r="L75" s="159"/>
    </row>
    <row r="76" spans="1:12" ht="30.75" customHeight="1">
      <c r="A76" s="167"/>
      <c r="B76" s="166"/>
      <c r="C76" s="347" t="s">
        <v>444</v>
      </c>
      <c r="D76" s="347"/>
      <c r="E76" s="347"/>
      <c r="F76" s="347"/>
      <c r="G76" s="270">
        <f>((E105-E101)*E107-(G105-G101)*G107)*G115*G55*G57/3600</f>
        <v>0</v>
      </c>
      <c r="H76" s="229" t="s">
        <v>443</v>
      </c>
      <c r="I76" s="239"/>
      <c r="J76" s="229"/>
      <c r="K76" s="167"/>
      <c r="L76" s="159"/>
    </row>
    <row r="77" spans="1:12" ht="12.75" customHeight="1">
      <c r="A77" s="167"/>
      <c r="B77" s="166"/>
      <c r="C77" s="238"/>
      <c r="D77" s="229"/>
      <c r="E77" s="229"/>
      <c r="F77" s="229"/>
      <c r="G77" s="177"/>
      <c r="H77" s="229"/>
      <c r="I77" s="229"/>
      <c r="J77" s="229"/>
      <c r="K77" s="167"/>
      <c r="L77" s="159"/>
    </row>
    <row r="78" spans="1:12" ht="18" customHeight="1">
      <c r="A78" s="167"/>
      <c r="B78" s="166"/>
      <c r="C78" s="173" t="s">
        <v>454</v>
      </c>
      <c r="D78" s="229"/>
      <c r="E78" s="229"/>
      <c r="F78" s="229"/>
      <c r="G78" s="177"/>
      <c r="H78" s="119"/>
      <c r="I78" s="229"/>
      <c r="J78" s="229"/>
      <c r="K78" s="167"/>
      <c r="L78" s="159"/>
    </row>
    <row r="79" spans="1:12" ht="15" customHeight="1">
      <c r="A79" s="167"/>
      <c r="B79" s="166"/>
      <c r="C79" s="242" t="s">
        <v>446</v>
      </c>
      <c r="D79" s="229"/>
      <c r="E79" s="229"/>
      <c r="F79" s="229"/>
      <c r="G79" s="267">
        <f>G69+G71-G74-G76</f>
        <v>0</v>
      </c>
      <c r="H79" s="229" t="s">
        <v>443</v>
      </c>
      <c r="I79" s="229"/>
      <c r="J79" s="229"/>
      <c r="K79" s="167"/>
      <c r="L79" s="159"/>
    </row>
    <row r="80" spans="1:12" ht="3.75" customHeight="1">
      <c r="A80" s="167"/>
      <c r="B80" s="166"/>
      <c r="D80" s="229"/>
      <c r="E80" s="229"/>
      <c r="F80" s="229"/>
      <c r="G80" s="267"/>
      <c r="H80" s="229"/>
      <c r="I80" s="229"/>
      <c r="J80" s="229"/>
      <c r="K80" s="167"/>
      <c r="L80" s="159"/>
    </row>
    <row r="81" spans="1:12" ht="12.75" customHeight="1">
      <c r="A81" s="167"/>
      <c r="B81" s="166"/>
      <c r="C81" s="242" t="s">
        <v>447</v>
      </c>
      <c r="D81" s="229"/>
      <c r="E81" s="229"/>
      <c r="F81" s="229"/>
      <c r="G81" s="267">
        <f>G79/G22</f>
        <v>0</v>
      </c>
      <c r="H81" s="229" t="s">
        <v>443</v>
      </c>
      <c r="I81" s="229"/>
      <c r="J81" s="229"/>
      <c r="K81" s="167"/>
      <c r="L81" s="159"/>
    </row>
    <row r="82" spans="1:12" ht="6" customHeight="1">
      <c r="A82" s="167"/>
      <c r="B82" s="166"/>
      <c r="C82" s="242"/>
      <c r="D82" s="229"/>
      <c r="E82" s="229"/>
      <c r="F82" s="229"/>
      <c r="G82" s="267"/>
      <c r="H82" s="229"/>
      <c r="I82" s="229"/>
      <c r="J82" s="229"/>
      <c r="K82" s="167"/>
      <c r="L82" s="159"/>
    </row>
    <row r="83" spans="1:12" ht="12.75" customHeight="1">
      <c r="A83" s="167"/>
      <c r="B83" s="166"/>
      <c r="C83" s="242"/>
      <c r="D83" s="229"/>
      <c r="E83" s="229"/>
      <c r="F83" s="229"/>
      <c r="G83" s="268">
        <f>G81*365</f>
        <v>0</v>
      </c>
      <c r="H83" s="243" t="s">
        <v>448</v>
      </c>
      <c r="I83" s="229"/>
      <c r="J83" s="229"/>
      <c r="K83" s="167"/>
      <c r="L83" s="159"/>
    </row>
    <row r="84" spans="1:12" ht="12.75" customHeight="1">
      <c r="A84" s="167"/>
      <c r="B84" s="166"/>
      <c r="C84" s="242"/>
      <c r="D84" s="229"/>
      <c r="E84" s="229"/>
      <c r="F84" s="229"/>
      <c r="G84" s="177"/>
      <c r="H84" s="229"/>
      <c r="I84" s="229"/>
      <c r="J84" s="229"/>
      <c r="K84" s="167"/>
      <c r="L84" s="159"/>
    </row>
    <row r="85" spans="1:12" ht="14.25" customHeight="1">
      <c r="A85" s="334" t="s">
        <v>455</v>
      </c>
      <c r="B85" s="334"/>
      <c r="C85" s="334"/>
      <c r="D85" s="334"/>
      <c r="E85" s="334"/>
      <c r="F85" s="334"/>
      <c r="G85" s="334"/>
      <c r="H85" s="334"/>
      <c r="I85" s="334"/>
      <c r="J85" s="334"/>
      <c r="K85" s="167"/>
      <c r="L85" s="159"/>
    </row>
    <row r="86" spans="1:12" ht="12.75" customHeight="1">
      <c r="A86" s="60"/>
      <c r="B86" s="107"/>
      <c r="C86" s="107"/>
      <c r="D86" s="107"/>
      <c r="E86" s="107"/>
      <c r="F86" s="107"/>
      <c r="G86" s="107"/>
      <c r="H86" s="107"/>
      <c r="I86" s="107"/>
      <c r="J86" s="107"/>
      <c r="K86" s="167"/>
      <c r="L86" s="159"/>
    </row>
    <row r="87" spans="1:12" ht="12.75" customHeight="1">
      <c r="A87" s="60"/>
      <c r="C87" s="326" t="s">
        <v>178</v>
      </c>
      <c r="D87" s="326"/>
      <c r="E87" s="326"/>
      <c r="F87" s="326"/>
      <c r="G87" s="111">
        <f>IF(ISERR(G83*G62)=TRUE,"-",G83*G62)</f>
        <v>0</v>
      </c>
      <c r="H87" s="110" t="s">
        <v>179</v>
      </c>
      <c r="I87" s="107"/>
      <c r="J87" s="107"/>
      <c r="K87" s="167"/>
      <c r="L87" s="159"/>
    </row>
    <row r="88" spans="1:12" ht="12.75" customHeight="1">
      <c r="A88" s="60"/>
      <c r="B88" s="107"/>
      <c r="C88" s="107"/>
      <c r="D88" s="107"/>
      <c r="E88" s="107"/>
      <c r="F88" s="107"/>
      <c r="G88" s="107"/>
      <c r="H88" s="107"/>
      <c r="I88" s="107"/>
      <c r="J88" s="107"/>
      <c r="K88" s="167"/>
      <c r="L88" s="159"/>
    </row>
    <row r="89" spans="1:12" ht="15.75" customHeight="1">
      <c r="A89" s="334" t="s">
        <v>456</v>
      </c>
      <c r="B89" s="334"/>
      <c r="C89" s="334"/>
      <c r="D89" s="334"/>
      <c r="E89" s="334"/>
      <c r="F89" s="334"/>
      <c r="G89" s="334"/>
      <c r="H89" s="334"/>
      <c r="I89" s="334"/>
      <c r="J89" s="334"/>
      <c r="K89" s="167"/>
      <c r="L89" s="159"/>
    </row>
    <row r="90" spans="1:12" ht="12.75" customHeight="1">
      <c r="A90" s="60"/>
      <c r="B90" s="104"/>
      <c r="C90" s="104"/>
      <c r="D90" s="104"/>
      <c r="E90" s="104"/>
      <c r="F90" s="104"/>
      <c r="G90" s="104"/>
      <c r="H90" s="104"/>
      <c r="I90" s="104"/>
      <c r="J90" s="104"/>
      <c r="K90" s="167"/>
      <c r="L90" s="159"/>
    </row>
    <row r="91" spans="1:12" ht="15" customHeight="1">
      <c r="A91" s="60"/>
      <c r="B91" s="247"/>
      <c r="C91" s="326" t="s">
        <v>181</v>
      </c>
      <c r="D91" s="326"/>
      <c r="E91" s="326"/>
      <c r="F91" s="326"/>
      <c r="G91" s="104">
        <v>0.499</v>
      </c>
      <c r="H91" s="326" t="s">
        <v>182</v>
      </c>
      <c r="I91" s="326"/>
      <c r="J91" s="104"/>
      <c r="K91" s="167"/>
      <c r="L91" s="159"/>
    </row>
    <row r="92" spans="1:12" ht="15.75" customHeight="1">
      <c r="A92" s="60"/>
      <c r="B92" s="247"/>
      <c r="C92" s="327" t="s">
        <v>183</v>
      </c>
      <c r="D92" s="327"/>
      <c r="E92" s="327"/>
      <c r="F92" s="327"/>
      <c r="G92" s="104"/>
      <c r="H92" s="104"/>
      <c r="I92" s="104"/>
      <c r="J92" s="104"/>
      <c r="K92" s="167"/>
      <c r="L92" s="159"/>
    </row>
    <row r="93" spans="1:12" ht="7.5" customHeight="1">
      <c r="A93" s="60"/>
      <c r="B93" s="247"/>
      <c r="C93" s="113"/>
      <c r="D93" s="107"/>
      <c r="E93" s="107"/>
      <c r="F93" s="104"/>
      <c r="G93" s="104"/>
      <c r="H93" s="104"/>
      <c r="I93" s="104"/>
      <c r="J93" s="104"/>
      <c r="K93" s="167"/>
      <c r="L93" s="159"/>
    </row>
    <row r="94" spans="1:12" ht="18.75" customHeight="1">
      <c r="A94" s="60"/>
      <c r="B94" s="247"/>
      <c r="C94" s="326" t="s">
        <v>185</v>
      </c>
      <c r="D94" s="326"/>
      <c r="E94" s="326"/>
      <c r="F94" s="326"/>
      <c r="G94" s="114">
        <f>IF(ISERR(G91*G83)=TRUE,"-",G91*G83)</f>
        <v>0</v>
      </c>
      <c r="H94" s="346" t="s">
        <v>184</v>
      </c>
      <c r="I94" s="346"/>
      <c r="J94" s="104"/>
      <c r="K94" s="167"/>
      <c r="L94" s="159"/>
    </row>
    <row r="95" spans="1:12" ht="12.75" customHeight="1">
      <c r="A95" s="167"/>
      <c r="B95" s="166"/>
      <c r="C95" s="242"/>
      <c r="D95" s="229"/>
      <c r="E95" s="229"/>
      <c r="F95" s="229"/>
      <c r="G95" s="177"/>
      <c r="H95" s="229"/>
      <c r="I95" s="229"/>
      <c r="J95" s="229"/>
      <c r="K95" s="167"/>
      <c r="L95" s="159"/>
    </row>
    <row r="96" spans="1:12" ht="12.75" customHeight="1">
      <c r="A96" s="167"/>
      <c r="B96" s="166"/>
      <c r="C96" s="242"/>
      <c r="D96" s="229"/>
      <c r="E96" s="229"/>
      <c r="F96" s="229"/>
      <c r="G96" s="177"/>
      <c r="H96" s="229"/>
      <c r="I96" s="229"/>
      <c r="J96" s="229"/>
      <c r="K96" s="167"/>
      <c r="L96" s="159"/>
    </row>
    <row r="97" spans="1:12" ht="15.75" customHeight="1">
      <c r="A97" s="334" t="s">
        <v>457</v>
      </c>
      <c r="B97" s="334"/>
      <c r="C97" s="334"/>
      <c r="D97" s="334"/>
      <c r="E97" s="334"/>
      <c r="F97" s="334"/>
      <c r="G97" s="334"/>
      <c r="H97" s="334"/>
      <c r="I97" s="334"/>
      <c r="J97" s="334"/>
      <c r="K97" s="167"/>
      <c r="L97" s="159"/>
    </row>
    <row r="98" spans="1:12" ht="12.75" customHeight="1">
      <c r="A98" s="167"/>
      <c r="B98" s="166"/>
      <c r="C98" s="242"/>
      <c r="D98" s="229"/>
      <c r="E98" s="229"/>
      <c r="F98" s="229"/>
      <c r="G98" s="177"/>
      <c r="H98" s="229"/>
      <c r="I98" s="229"/>
      <c r="J98" s="229"/>
      <c r="K98" s="167"/>
      <c r="L98" s="159"/>
    </row>
    <row r="99" spans="1:12" ht="12.75" customHeight="1">
      <c r="A99" s="167"/>
      <c r="B99" s="166"/>
      <c r="C99" s="248" t="s">
        <v>458</v>
      </c>
      <c r="D99" s="249"/>
      <c r="E99" s="250" t="s">
        <v>459</v>
      </c>
      <c r="F99" s="250"/>
      <c r="G99" s="250" t="s">
        <v>460</v>
      </c>
      <c r="H99" s="249"/>
      <c r="I99" s="229"/>
      <c r="J99" s="229"/>
      <c r="K99" s="167"/>
      <c r="L99" s="159"/>
    </row>
    <row r="100" spans="1:12" ht="1.5" customHeight="1">
      <c r="A100" s="167"/>
      <c r="B100" s="166"/>
      <c r="C100" s="251"/>
      <c r="D100" s="174"/>
      <c r="E100" s="251"/>
      <c r="F100" s="251"/>
      <c r="G100" s="162"/>
      <c r="H100" s="162"/>
      <c r="I100" s="229"/>
      <c r="J100" s="229"/>
      <c r="K100" s="167"/>
      <c r="L100" s="159"/>
    </row>
    <row r="101" spans="1:12" ht="12.75" customHeight="1">
      <c r="A101" s="167"/>
      <c r="B101" s="166"/>
      <c r="C101" s="252" t="s">
        <v>225</v>
      </c>
      <c r="D101" s="174"/>
      <c r="E101" s="253">
        <f>G37</f>
        <v>0</v>
      </c>
      <c r="F101" s="165" t="s">
        <v>124</v>
      </c>
      <c r="G101" s="253">
        <f>G16</f>
        <v>0</v>
      </c>
      <c r="H101" s="165" t="s">
        <v>124</v>
      </c>
      <c r="I101" s="229"/>
      <c r="J101" s="229"/>
      <c r="K101" s="167"/>
      <c r="L101" s="159"/>
    </row>
    <row r="102" spans="1:12" ht="3" customHeight="1">
      <c r="A102" s="167"/>
      <c r="B102" s="166"/>
      <c r="C102" s="252"/>
      <c r="D102" s="174"/>
      <c r="E102" s="253"/>
      <c r="F102" s="165"/>
      <c r="G102" s="253"/>
      <c r="H102" s="165"/>
      <c r="I102" s="229"/>
      <c r="J102" s="229"/>
      <c r="K102" s="167"/>
      <c r="L102" s="159"/>
    </row>
    <row r="103" spans="1:12" ht="12.75" customHeight="1">
      <c r="A103" s="167"/>
      <c r="B103" s="166"/>
      <c r="C103" s="252" t="s">
        <v>461</v>
      </c>
      <c r="D103" s="174"/>
      <c r="E103" s="253">
        <f>G39</f>
        <v>0</v>
      </c>
      <c r="F103" s="165" t="s">
        <v>186</v>
      </c>
      <c r="G103" s="253">
        <f>G18</f>
        <v>0</v>
      </c>
      <c r="H103" s="165" t="s">
        <v>186</v>
      </c>
      <c r="I103" s="229"/>
      <c r="J103" s="229"/>
      <c r="K103" s="167"/>
      <c r="L103" s="159"/>
    </row>
    <row r="104" spans="1:12" ht="2.25" customHeight="1">
      <c r="A104" s="167"/>
      <c r="B104" s="166"/>
      <c r="C104" s="252"/>
      <c r="D104" s="174"/>
      <c r="E104" s="253"/>
      <c r="F104" s="165"/>
      <c r="G104" s="253"/>
      <c r="H104" s="165"/>
      <c r="I104" s="229"/>
      <c r="J104" s="229"/>
      <c r="K104" s="167"/>
      <c r="L104" s="159"/>
    </row>
    <row r="105" spans="1:12" ht="16.5" customHeight="1">
      <c r="A105" s="167"/>
      <c r="B105" s="166"/>
      <c r="C105" s="254" t="s">
        <v>462</v>
      </c>
      <c r="D105" s="174"/>
      <c r="E105" s="255">
        <f>E101+E109/1000*(2490+1.96*E101)</f>
        <v>0</v>
      </c>
      <c r="F105" s="256" t="s">
        <v>465</v>
      </c>
      <c r="G105" s="257">
        <f>G101+G109/1000*(2490+1.96*G101)</f>
        <v>0</v>
      </c>
      <c r="H105" s="256" t="s">
        <v>465</v>
      </c>
      <c r="I105" s="229"/>
      <c r="J105" s="229"/>
      <c r="K105" s="167"/>
      <c r="L105" s="159"/>
    </row>
    <row r="106" spans="1:12" ht="3.75" customHeight="1">
      <c r="A106" s="167"/>
      <c r="B106" s="166"/>
      <c r="C106" s="252"/>
      <c r="D106" s="174"/>
      <c r="E106" s="253"/>
      <c r="F106" s="165"/>
      <c r="G106" s="253"/>
      <c r="H106" s="165"/>
      <c r="I106" s="229"/>
      <c r="J106" s="229"/>
      <c r="K106" s="167"/>
      <c r="L106" s="159"/>
    </row>
    <row r="107" spans="1:12" ht="17.25" customHeight="1">
      <c r="A107" s="167"/>
      <c r="B107" s="166"/>
      <c r="C107" s="254" t="s">
        <v>463</v>
      </c>
      <c r="D107" s="258"/>
      <c r="E107" s="259">
        <f>101320/(273.15+E101)/462/(0.622+E109/1000)</f>
        <v>1.2908079039016602</v>
      </c>
      <c r="F107" s="256" t="s">
        <v>466</v>
      </c>
      <c r="G107" s="259">
        <f>101320/(273.15+G101)/462/(0.622+G109/1000)</f>
        <v>1.2908079039016602</v>
      </c>
      <c r="H107" s="256" t="s">
        <v>466</v>
      </c>
      <c r="I107" s="229"/>
      <c r="J107" s="229"/>
      <c r="K107" s="167"/>
      <c r="L107" s="159"/>
    </row>
    <row r="108" spans="1:12" ht="3.75" customHeight="1">
      <c r="A108" s="167"/>
      <c r="B108" s="166"/>
      <c r="C108" s="252"/>
      <c r="D108" s="174"/>
      <c r="E108" s="253"/>
      <c r="F108" s="165"/>
      <c r="G108" s="253"/>
      <c r="H108" s="165"/>
      <c r="I108" s="229"/>
      <c r="J108" s="229"/>
      <c r="K108" s="167"/>
      <c r="L108" s="159"/>
    </row>
    <row r="109" spans="1:12" ht="17.25" customHeight="1">
      <c r="A109" s="167"/>
      <c r="B109" s="166"/>
      <c r="C109" s="254" t="s">
        <v>464</v>
      </c>
      <c r="D109" s="235"/>
      <c r="E109" s="257">
        <f>(0.000004*E101^4+0.0002*E101^3+0.008*E101^2+0.2875*E101+3.7821)*E103/100</f>
        <v>0</v>
      </c>
      <c r="F109" s="256" t="s">
        <v>467</v>
      </c>
      <c r="G109" s="257">
        <f>(0.000004*G101^4+0.0002*G101^3+0.008*G101^2+0.2875*G101+3.7821)*G103/100</f>
        <v>0</v>
      </c>
      <c r="H109" s="256" t="s">
        <v>467</v>
      </c>
      <c r="I109" s="229"/>
      <c r="J109" s="229"/>
      <c r="K109" s="167"/>
      <c r="L109" s="159"/>
    </row>
    <row r="110" spans="1:12" ht="17.25" customHeight="1">
      <c r="A110" s="167"/>
      <c r="B110" s="166"/>
      <c r="C110" s="254"/>
      <c r="D110" s="235"/>
      <c r="E110" s="257"/>
      <c r="F110" s="256"/>
      <c r="G110" s="257"/>
      <c r="H110" s="256"/>
      <c r="I110" s="229"/>
      <c r="J110" s="229"/>
      <c r="K110" s="167"/>
      <c r="L110" s="159"/>
    </row>
    <row r="111" spans="1:12" ht="16.5" customHeight="1">
      <c r="A111" s="167"/>
      <c r="B111" s="166"/>
      <c r="C111" s="174"/>
      <c r="D111" s="174"/>
      <c r="E111" s="250" t="s">
        <v>486</v>
      </c>
      <c r="F111" s="162"/>
      <c r="G111" s="250" t="s">
        <v>485</v>
      </c>
      <c r="H111" s="253"/>
      <c r="I111" s="229"/>
      <c r="J111" s="229"/>
      <c r="K111" s="167"/>
      <c r="L111" s="159"/>
    </row>
    <row r="112" spans="1:12" ht="1.5" customHeight="1">
      <c r="A112" s="167"/>
      <c r="B112" s="166"/>
      <c r="C112" s="174"/>
      <c r="D112" s="174"/>
      <c r="E112" s="174"/>
      <c r="F112" s="162"/>
      <c r="G112" s="257"/>
      <c r="H112" s="253"/>
      <c r="I112" s="229"/>
      <c r="J112" s="229"/>
      <c r="K112" s="167"/>
      <c r="L112" s="159"/>
    </row>
    <row r="113" spans="1:12" ht="12.75" customHeight="1">
      <c r="A113" s="167"/>
      <c r="B113" s="166"/>
      <c r="C113" s="249" t="s">
        <v>468</v>
      </c>
      <c r="D113" s="235"/>
      <c r="E113" s="260">
        <f>IF(E105=0,0,E117/(E105-G105)/G107*3600)</f>
        <v>0</v>
      </c>
      <c r="F113" s="249" t="s">
        <v>189</v>
      </c>
      <c r="G113" s="260">
        <f>IF(E105=0,0,G117/(E105-G105)/G107*3600)</f>
        <v>0</v>
      </c>
      <c r="H113" s="249" t="s">
        <v>189</v>
      </c>
      <c r="I113" s="229"/>
      <c r="J113" s="229"/>
      <c r="K113" s="167"/>
      <c r="L113" s="159"/>
    </row>
    <row r="114" spans="1:12" ht="3" customHeight="1">
      <c r="A114" s="167"/>
      <c r="B114" s="166"/>
      <c r="C114" s="252"/>
      <c r="D114" s="174"/>
      <c r="E114" s="162"/>
      <c r="F114" s="261"/>
      <c r="G114" s="162"/>
      <c r="H114" s="261"/>
      <c r="I114" s="229"/>
      <c r="J114" s="229"/>
      <c r="K114" s="167"/>
      <c r="L114" s="159"/>
    </row>
    <row r="115" spans="1:12" ht="12.75" customHeight="1">
      <c r="A115" s="167"/>
      <c r="B115" s="166"/>
      <c r="C115" s="249" t="s">
        <v>469</v>
      </c>
      <c r="D115" s="235"/>
      <c r="E115" s="262">
        <f>E113*G45/3600</f>
        <v>0</v>
      </c>
      <c r="F115" s="254" t="s">
        <v>123</v>
      </c>
      <c r="G115" s="262">
        <f>G113*G53/3600</f>
        <v>0</v>
      </c>
      <c r="H115" s="254" t="s">
        <v>123</v>
      </c>
      <c r="I115" s="229"/>
      <c r="J115" s="229"/>
      <c r="K115" s="167"/>
      <c r="L115" s="159"/>
    </row>
    <row r="116" spans="1:12" ht="3.75" customHeight="1">
      <c r="A116" s="167"/>
      <c r="B116" s="166"/>
      <c r="C116" s="252"/>
      <c r="D116" s="174"/>
      <c r="E116" s="162"/>
      <c r="F116" s="261"/>
      <c r="G116" s="162"/>
      <c r="H116" s="261"/>
      <c r="I116" s="229"/>
      <c r="J116" s="229"/>
      <c r="K116" s="167"/>
      <c r="L116" s="159"/>
    </row>
    <row r="117" spans="1:12" ht="12.75" customHeight="1">
      <c r="A117" s="167"/>
      <c r="B117" s="166"/>
      <c r="C117" s="249" t="s">
        <v>470</v>
      </c>
      <c r="D117" s="235"/>
      <c r="E117" s="263">
        <f>(0.48+0.004*(E101-G101))*G107*G28*G30*G30^0.5*(1-E107/G107)^0.5*(E105-G105)</f>
        <v>0</v>
      </c>
      <c r="F117" s="249" t="s">
        <v>478</v>
      </c>
      <c r="G117" s="263">
        <f>(0.48+0.004*(E101-G101))*G107*G28*G30*G30^0.5*(1-E107/G107)^0.5*(E105-G105)</f>
        <v>0</v>
      </c>
      <c r="H117" s="249" t="s">
        <v>471</v>
      </c>
      <c r="I117" s="229"/>
      <c r="J117" s="229"/>
      <c r="K117" s="167"/>
      <c r="L117" s="159"/>
    </row>
    <row r="118" spans="1:12" ht="1.5" customHeight="1">
      <c r="A118" s="167"/>
      <c r="B118" s="166"/>
      <c r="C118" s="252"/>
      <c r="D118" s="174"/>
      <c r="E118" s="162"/>
      <c r="F118" s="261"/>
      <c r="G118" s="162"/>
      <c r="H118" s="261"/>
      <c r="I118" s="229"/>
      <c r="J118" s="229"/>
      <c r="K118" s="167"/>
      <c r="L118" s="159"/>
    </row>
    <row r="119" spans="1:12" ht="27" customHeight="1">
      <c r="A119" s="167"/>
      <c r="B119" s="166"/>
      <c r="C119" s="252" t="s">
        <v>472</v>
      </c>
      <c r="D119" s="235"/>
      <c r="E119" s="265">
        <f>E117*G45</f>
        <v>0</v>
      </c>
      <c r="F119" s="266" t="s">
        <v>477</v>
      </c>
      <c r="G119" s="265">
        <f>G117*G53</f>
        <v>0</v>
      </c>
      <c r="H119" s="252" t="s">
        <v>476</v>
      </c>
      <c r="I119" s="229"/>
      <c r="J119" s="229"/>
      <c r="K119" s="167"/>
      <c r="L119" s="159"/>
    </row>
    <row r="120" spans="1:12" ht="1.5" customHeight="1">
      <c r="A120" s="167"/>
      <c r="B120" s="166"/>
      <c r="C120" s="252"/>
      <c r="D120" s="174"/>
      <c r="E120" s="162"/>
      <c r="F120" s="261"/>
      <c r="G120" s="162"/>
      <c r="H120" s="261"/>
      <c r="I120" s="229"/>
      <c r="J120" s="229"/>
      <c r="K120" s="167"/>
      <c r="L120" s="159"/>
    </row>
    <row r="121" spans="1:12" ht="12.75" customHeight="1">
      <c r="A121" s="167"/>
      <c r="B121" s="166"/>
      <c r="C121" s="249" t="s">
        <v>473</v>
      </c>
      <c r="D121" s="235"/>
      <c r="E121" s="263">
        <f>E115*E107*(E109-G109)</f>
        <v>0</v>
      </c>
      <c r="F121" s="159" t="s">
        <v>190</v>
      </c>
      <c r="G121" s="263">
        <f>G115*E107*(E109-G109)</f>
        <v>0</v>
      </c>
      <c r="H121" s="159" t="s">
        <v>190</v>
      </c>
      <c r="I121" s="229"/>
      <c r="J121" s="229"/>
      <c r="K121" s="167"/>
      <c r="L121" s="159"/>
    </row>
    <row r="122" spans="1:12" ht="4.5" customHeight="1">
      <c r="A122" s="167"/>
      <c r="B122" s="166"/>
      <c r="C122" s="252"/>
      <c r="D122" s="174"/>
      <c r="E122" s="162"/>
      <c r="F122" s="261"/>
      <c r="G122" s="162"/>
      <c r="H122" s="261"/>
      <c r="I122" s="229"/>
      <c r="J122" s="229"/>
      <c r="K122" s="167"/>
      <c r="L122" s="159"/>
    </row>
    <row r="123" spans="1:12" ht="12.75" customHeight="1">
      <c r="A123" s="167"/>
      <c r="B123" s="166"/>
      <c r="C123" s="249" t="s">
        <v>474</v>
      </c>
      <c r="D123" s="235"/>
      <c r="E123" s="264">
        <f>E121*G47*G49/1000</f>
        <v>0</v>
      </c>
      <c r="F123" s="159" t="s">
        <v>475</v>
      </c>
      <c r="G123" s="264">
        <f>G121*G55*G57/1000</f>
        <v>0</v>
      </c>
      <c r="H123" s="159" t="s">
        <v>475</v>
      </c>
      <c r="I123" s="229"/>
      <c r="J123" s="229"/>
      <c r="K123" s="167"/>
      <c r="L123" s="159"/>
    </row>
    <row r="124" spans="1:12" ht="12.75" customHeight="1">
      <c r="A124" s="167"/>
      <c r="B124" s="166"/>
      <c r="C124" s="162"/>
      <c r="D124" s="161"/>
      <c r="E124" s="162"/>
      <c r="F124" s="159"/>
      <c r="G124" s="159"/>
      <c r="H124" s="163"/>
      <c r="I124" s="229"/>
      <c r="J124" s="229"/>
      <c r="K124" s="167"/>
      <c r="L124" s="159"/>
    </row>
    <row r="125" spans="1:12" ht="12.75" customHeight="1">
      <c r="A125" s="167"/>
      <c r="B125" s="166"/>
      <c r="D125" s="229"/>
      <c r="E125" s="229"/>
      <c r="F125" s="229"/>
      <c r="G125" s="177"/>
      <c r="H125" s="229"/>
      <c r="I125" s="229"/>
      <c r="J125" s="229"/>
      <c r="K125" s="167"/>
      <c r="L125" s="159"/>
    </row>
    <row r="126" spans="1:12" ht="12.75" customHeight="1">
      <c r="C126" s="129"/>
      <c r="D126" s="130"/>
      <c r="E126" s="129"/>
      <c r="F126" s="125"/>
      <c r="G126" s="125"/>
      <c r="H126" s="141"/>
      <c r="I126" s="142"/>
    </row>
    <row r="127" spans="1:12" ht="12.75" customHeight="1">
      <c r="C127" s="129"/>
      <c r="D127" s="130"/>
      <c r="E127" s="129"/>
      <c r="F127" s="125"/>
      <c r="G127" s="125"/>
      <c r="H127" s="141"/>
      <c r="I127" s="142"/>
    </row>
    <row r="128" spans="1:12" ht="12.75" customHeight="1">
      <c r="C128" s="129"/>
      <c r="D128" s="130"/>
      <c r="E128" s="129"/>
      <c r="F128" s="125"/>
      <c r="G128" s="125"/>
      <c r="H128" s="132"/>
      <c r="I128" s="133"/>
    </row>
    <row r="129" spans="2:9" ht="12.75" customHeight="1">
      <c r="C129" s="129"/>
      <c r="D129" s="130"/>
      <c r="E129" s="129"/>
      <c r="F129" s="125"/>
      <c r="G129" s="125"/>
      <c r="H129" s="132"/>
      <c r="I129" s="145"/>
    </row>
    <row r="130" spans="2:9" ht="12.75" customHeight="1">
      <c r="C130" s="129"/>
      <c r="D130" s="130"/>
      <c r="E130" s="129"/>
      <c r="F130" s="125"/>
      <c r="G130" s="125"/>
      <c r="H130" s="132"/>
      <c r="I130" s="133"/>
    </row>
    <row r="131" spans="2:9" ht="12.75" customHeight="1">
      <c r="C131" s="129"/>
      <c r="D131" s="130"/>
      <c r="E131" s="129"/>
      <c r="F131" s="125"/>
      <c r="G131" s="125"/>
      <c r="H131" s="132"/>
      <c r="I131" s="133"/>
    </row>
    <row r="132" spans="2:9" ht="12.75" customHeight="1">
      <c r="C132" s="129"/>
      <c r="D132" s="130"/>
      <c r="E132" s="129"/>
      <c r="F132" s="125"/>
      <c r="G132" s="125"/>
      <c r="H132" s="132"/>
      <c r="I132" s="133"/>
    </row>
    <row r="133" spans="2:9" s="127" customFormat="1" ht="12.75" customHeight="1">
      <c r="B133" s="136"/>
      <c r="D133" s="137"/>
      <c r="E133" s="136"/>
      <c r="H133" s="138"/>
      <c r="I133" s="133"/>
    </row>
    <row r="134" spans="2:9" ht="12.75" customHeight="1">
      <c r="C134" s="134"/>
      <c r="D134" s="146"/>
      <c r="E134" s="128"/>
      <c r="F134" s="134"/>
      <c r="G134" s="134"/>
      <c r="H134" s="147"/>
      <c r="I134" s="148"/>
    </row>
    <row r="135" spans="2:9" ht="12.75" customHeight="1">
      <c r="C135" s="134"/>
      <c r="D135" s="146"/>
      <c r="E135" s="128"/>
      <c r="F135" s="134"/>
      <c r="G135" s="134"/>
      <c r="H135" s="147"/>
      <c r="I135" s="148"/>
    </row>
    <row r="136" spans="2:9" ht="12.75" customHeight="1">
      <c r="C136" s="134"/>
      <c r="D136" s="146"/>
      <c r="E136" s="128"/>
      <c r="F136" s="134"/>
      <c r="G136" s="134"/>
      <c r="H136" s="147"/>
      <c r="I136" s="148"/>
    </row>
    <row r="137" spans="2:9" ht="12.75" customHeight="1">
      <c r="C137" s="134"/>
      <c r="D137" s="146"/>
      <c r="E137" s="128"/>
      <c r="F137" s="134"/>
      <c r="G137" s="134"/>
      <c r="H137" s="147"/>
      <c r="I137" s="148"/>
    </row>
  </sheetData>
  <mergeCells count="25">
    <mergeCell ref="C74:F74"/>
    <mergeCell ref="C71:F71"/>
    <mergeCell ref="C76:F76"/>
    <mergeCell ref="H47:I47"/>
    <mergeCell ref="H55:I55"/>
    <mergeCell ref="D49:F49"/>
    <mergeCell ref="D57:F57"/>
    <mergeCell ref="A60:J60"/>
    <mergeCell ref="A66:J66"/>
    <mergeCell ref="C69:F69"/>
    <mergeCell ref="C63:K63"/>
    <mergeCell ref="A97:J97"/>
    <mergeCell ref="C94:F94"/>
    <mergeCell ref="C92:F92"/>
    <mergeCell ref="C91:F91"/>
    <mergeCell ref="A85:J85"/>
    <mergeCell ref="A89:J89"/>
    <mergeCell ref="C87:F87"/>
    <mergeCell ref="H91:I91"/>
    <mergeCell ref="H94:I94"/>
    <mergeCell ref="B2:K2"/>
    <mergeCell ref="A26:J26"/>
    <mergeCell ref="A35:J35"/>
    <mergeCell ref="A4:J4"/>
    <mergeCell ref="A42:J42"/>
  </mergeCells>
  <hyperlinks>
    <hyperlink ref="C92" r:id="rId1"/>
  </hyperlinks>
  <printOptions horizontalCentered="1" verticalCentered="1" gridLines="1"/>
  <pageMargins left="0.21" right="0.19" top="1.7632575757575757" bottom="1.19" header="0.51181102362204722" footer="0.51181102362204722"/>
  <pageSetup scale="84" fitToHeight="0" orientation="portrait" horizontalDpi="300" verticalDpi="300" r:id="rId2"/>
  <headerFooter alignWithMargins="0">
    <oddHeader>&amp;C&amp;G&amp;R&amp;"Arial,Negrita Cursiva"REFRIGERACIÓN</oddHeader>
  </headerFooter>
  <rowBreaks count="2" manualBreakCount="2">
    <brk id="51" max="11" man="1"/>
    <brk id="96" max="11" man="1"/>
  </rowBreaks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57"/>
  <sheetViews>
    <sheetView view="pageBreakPreview" topLeftCell="A47" zoomScaleNormal="100" zoomScaleSheetLayoutView="100" zoomScalePageLayoutView="110" workbookViewId="0">
      <selection activeCell="A59" sqref="A59:XFD59"/>
    </sheetView>
  </sheetViews>
  <sheetFormatPr baseColWidth="10" defaultRowHeight="12.75" customHeight="1"/>
  <cols>
    <col min="1" max="1" width="3.85546875" style="119" customWidth="1"/>
    <col min="2" max="2" width="4.7109375" style="118" customWidth="1"/>
    <col min="3" max="3" width="11.7109375" style="119" customWidth="1"/>
    <col min="4" max="4" width="17.85546875" style="120" customWidth="1"/>
    <col min="5" max="5" width="11.7109375" style="121" customWidth="1"/>
    <col min="6" max="6" width="14.5703125" style="119" customWidth="1"/>
    <col min="7" max="7" width="13.85546875" style="119" customWidth="1"/>
    <col min="8" max="8" width="13.42578125" style="122" customWidth="1"/>
    <col min="9" max="9" width="14.28515625" style="123" customWidth="1"/>
    <col min="10" max="10" width="13.5703125" style="119" customWidth="1"/>
    <col min="11" max="11" width="3.7109375" style="119" customWidth="1"/>
    <col min="12" max="16384" width="11.42578125" style="119"/>
  </cols>
  <sheetData>
    <row r="1" spans="1:12" ht="12.75" customHeight="1">
      <c r="A1" s="159"/>
      <c r="B1" s="160"/>
      <c r="C1" s="159"/>
      <c r="D1" s="161"/>
      <c r="E1" s="162"/>
      <c r="F1" s="159"/>
      <c r="G1" s="159"/>
      <c r="H1" s="163"/>
      <c r="I1" s="164"/>
      <c r="J1" s="159"/>
      <c r="K1" s="159"/>
      <c r="L1" s="159"/>
    </row>
    <row r="2" spans="1:12" ht="39" customHeight="1">
      <c r="A2" s="125"/>
      <c r="B2" s="315" t="s">
        <v>191</v>
      </c>
      <c r="C2" s="343"/>
      <c r="D2" s="343"/>
      <c r="E2" s="343"/>
      <c r="F2" s="343"/>
      <c r="G2" s="343"/>
      <c r="H2" s="343"/>
      <c r="I2" s="343"/>
      <c r="J2" s="343"/>
      <c r="K2" s="343"/>
      <c r="L2" s="159"/>
    </row>
    <row r="3" spans="1:12" ht="12.75" customHeight="1">
      <c r="A3" s="159"/>
      <c r="B3" s="160"/>
      <c r="C3" s="159"/>
      <c r="D3" s="161"/>
      <c r="E3" s="162"/>
      <c r="F3" s="159"/>
      <c r="G3" s="159"/>
      <c r="H3" s="163"/>
      <c r="I3" s="164"/>
      <c r="J3" s="159"/>
      <c r="K3" s="159"/>
      <c r="L3" s="159"/>
    </row>
    <row r="4" spans="1:12" ht="16.5" customHeight="1">
      <c r="A4" s="344" t="s">
        <v>198</v>
      </c>
      <c r="B4" s="344"/>
      <c r="C4" s="344"/>
      <c r="D4" s="344"/>
      <c r="E4" s="344"/>
      <c r="F4" s="344"/>
      <c r="G4" s="344"/>
      <c r="H4" s="344"/>
      <c r="I4" s="344"/>
      <c r="J4" s="344"/>
      <c r="K4" s="159"/>
      <c r="L4" s="159"/>
    </row>
    <row r="5" spans="1:12" ht="12.75" customHeight="1">
      <c r="A5" s="159"/>
      <c r="B5" s="166"/>
      <c r="C5" s="167"/>
      <c r="D5" s="168"/>
      <c r="E5" s="169"/>
      <c r="F5" s="167"/>
      <c r="G5" s="167"/>
      <c r="H5" s="170"/>
      <c r="I5" s="171"/>
      <c r="J5" s="167"/>
      <c r="K5" s="167"/>
      <c r="L5" s="159"/>
    </row>
    <row r="6" spans="1:12" ht="18" customHeight="1">
      <c r="A6" s="159"/>
      <c r="B6" s="166"/>
      <c r="C6" s="173" t="s">
        <v>199</v>
      </c>
      <c r="D6" s="168"/>
      <c r="E6" s="169"/>
      <c r="F6" s="167"/>
      <c r="G6" s="167"/>
      <c r="H6" s="170"/>
      <c r="I6" s="171"/>
      <c r="J6" s="167"/>
      <c r="K6" s="167"/>
      <c r="L6" s="159"/>
    </row>
    <row r="7" spans="1:12" ht="12.75" customHeight="1">
      <c r="A7" s="167"/>
      <c r="B7" s="166"/>
      <c r="C7" s="174"/>
      <c r="D7" s="172" t="s">
        <v>139</v>
      </c>
      <c r="E7" s="174"/>
      <c r="F7" s="174"/>
      <c r="G7" s="271">
        <f>'1. Datos de entrada'!E175</f>
        <v>0</v>
      </c>
      <c r="H7" s="177" t="s">
        <v>78</v>
      </c>
      <c r="I7" s="174"/>
      <c r="J7" s="174"/>
      <c r="K7" s="167"/>
      <c r="L7" s="159"/>
    </row>
    <row r="8" spans="1:12" ht="5.25" customHeight="1">
      <c r="A8" s="167"/>
      <c r="B8" s="166"/>
      <c r="C8" s="174"/>
      <c r="D8" s="172"/>
      <c r="E8" s="174"/>
      <c r="F8" s="174"/>
      <c r="G8" s="179"/>
      <c r="H8" s="177"/>
      <c r="I8" s="174"/>
      <c r="J8" s="174"/>
      <c r="K8" s="167"/>
      <c r="L8" s="159"/>
    </row>
    <row r="9" spans="1:12" ht="12.75" customHeight="1">
      <c r="A9" s="167"/>
      <c r="B9" s="166"/>
      <c r="C9" s="174"/>
      <c r="D9" s="172" t="s">
        <v>141</v>
      </c>
      <c r="E9" s="162"/>
      <c r="F9" s="162"/>
      <c r="G9" s="271">
        <f>'1. Datos de entrada'!E174</f>
        <v>0</v>
      </c>
      <c r="H9" s="177" t="s">
        <v>78</v>
      </c>
      <c r="I9" s="174"/>
      <c r="J9" s="174"/>
      <c r="K9" s="167"/>
      <c r="L9" s="159"/>
    </row>
    <row r="10" spans="1:12" ht="7.5" customHeight="1">
      <c r="A10" s="167"/>
      <c r="B10" s="166"/>
      <c r="C10" s="174"/>
      <c r="D10" s="172"/>
      <c r="E10" s="174"/>
      <c r="F10" s="174"/>
      <c r="G10" s="179"/>
      <c r="H10" s="177"/>
      <c r="I10" s="174"/>
      <c r="J10" s="174"/>
      <c r="K10" s="167"/>
      <c r="L10" s="159"/>
    </row>
    <row r="11" spans="1:12" ht="12.75" customHeight="1">
      <c r="A11" s="167"/>
      <c r="B11" s="166"/>
      <c r="C11" s="174"/>
      <c r="D11" s="172" t="s">
        <v>140</v>
      </c>
      <c r="E11" s="162"/>
      <c r="F11" s="162"/>
      <c r="G11" s="271">
        <f>'1. Datos de entrada'!E173</f>
        <v>0</v>
      </c>
      <c r="H11" s="177" t="s">
        <v>78</v>
      </c>
      <c r="I11" s="174"/>
      <c r="J11" s="174"/>
      <c r="K11" s="167"/>
      <c r="L11" s="159"/>
    </row>
    <row r="12" spans="1:12" ht="4.5" customHeight="1">
      <c r="A12" s="167"/>
      <c r="B12" s="166"/>
      <c r="C12" s="165"/>
      <c r="D12" s="169"/>
      <c r="E12" s="162"/>
      <c r="F12" s="162"/>
      <c r="G12" s="180"/>
      <c r="H12" s="177"/>
      <c r="I12" s="174"/>
      <c r="J12" s="174"/>
      <c r="K12" s="167"/>
      <c r="L12" s="159"/>
    </row>
    <row r="13" spans="1:12" ht="12.75" customHeight="1">
      <c r="A13" s="167"/>
      <c r="B13" s="166"/>
      <c r="C13" s="174"/>
      <c r="D13" s="172" t="s">
        <v>200</v>
      </c>
      <c r="E13" s="162"/>
      <c r="F13" s="162"/>
      <c r="G13" s="244">
        <f>G7*G9*G11</f>
        <v>0</v>
      </c>
      <c r="H13" s="177" t="s">
        <v>123</v>
      </c>
      <c r="I13" s="174"/>
      <c r="J13" s="174"/>
      <c r="K13" s="167"/>
      <c r="L13" s="159"/>
    </row>
    <row r="14" spans="1:12" ht="12.75" customHeight="1">
      <c r="A14" s="167"/>
      <c r="B14" s="166"/>
      <c r="C14" s="162"/>
      <c r="D14" s="162"/>
      <c r="E14" s="162"/>
      <c r="F14" s="174"/>
      <c r="G14" s="174"/>
      <c r="H14" s="174"/>
      <c r="I14" s="174"/>
      <c r="J14" s="174"/>
      <c r="K14" s="167"/>
      <c r="L14" s="159"/>
    </row>
    <row r="15" spans="1:12" ht="16.5" customHeight="1">
      <c r="A15" s="167"/>
      <c r="B15" s="166"/>
      <c r="C15" s="173" t="s">
        <v>201</v>
      </c>
      <c r="D15" s="174"/>
      <c r="E15" s="174"/>
      <c r="F15" s="174"/>
      <c r="G15" s="174"/>
      <c r="H15" s="174"/>
      <c r="I15" s="174"/>
      <c r="J15" s="174"/>
      <c r="K15" s="167"/>
      <c r="L15" s="159"/>
    </row>
    <row r="16" spans="1:12" ht="12.75" customHeight="1">
      <c r="A16" s="167"/>
      <c r="B16" s="166"/>
      <c r="C16" s="174"/>
      <c r="D16" s="172" t="s">
        <v>202</v>
      </c>
      <c r="E16" s="169"/>
      <c r="F16" s="169"/>
      <c r="G16" s="271">
        <f>'1. Datos de entrada'!E182</f>
        <v>0</v>
      </c>
      <c r="H16" s="177" t="s">
        <v>124</v>
      </c>
      <c r="I16" s="174"/>
      <c r="J16" s="174"/>
      <c r="K16" s="167"/>
      <c r="L16" s="159"/>
    </row>
    <row r="17" spans="1:12" ht="5.25" customHeight="1">
      <c r="A17" s="167"/>
      <c r="B17" s="166"/>
      <c r="C17" s="174"/>
      <c r="D17" s="172"/>
      <c r="E17" s="169"/>
      <c r="F17" s="169"/>
      <c r="G17" s="179"/>
      <c r="H17" s="177"/>
      <c r="I17" s="174"/>
      <c r="J17" s="174"/>
      <c r="K17" s="167"/>
      <c r="L17" s="159"/>
    </row>
    <row r="18" spans="1:12" ht="12.75" customHeight="1">
      <c r="A18" s="167"/>
      <c r="B18" s="166"/>
      <c r="C18" s="174"/>
      <c r="D18" s="172" t="s">
        <v>203</v>
      </c>
      <c r="E18" s="169"/>
      <c r="F18" s="169"/>
      <c r="G18" s="227">
        <v>0</v>
      </c>
      <c r="H18" s="177" t="s">
        <v>186</v>
      </c>
      <c r="I18" s="174"/>
      <c r="J18" s="174"/>
      <c r="K18" s="167"/>
      <c r="L18" s="159"/>
    </row>
    <row r="19" spans="1:12" ht="12.75" customHeight="1">
      <c r="A19" s="167"/>
      <c r="B19" s="166"/>
      <c r="C19" s="162"/>
      <c r="D19" s="162"/>
      <c r="E19" s="162"/>
      <c r="F19" s="174"/>
      <c r="G19" s="174"/>
      <c r="H19" s="174"/>
      <c r="I19" s="174"/>
      <c r="J19" s="174"/>
      <c r="K19" s="167"/>
      <c r="L19" s="159"/>
    </row>
    <row r="20" spans="1:12" ht="18" customHeight="1">
      <c r="A20" s="167"/>
      <c r="B20" s="166"/>
      <c r="C20" s="173" t="s">
        <v>204</v>
      </c>
      <c r="D20" s="174"/>
      <c r="E20" s="174"/>
      <c r="F20" s="174"/>
      <c r="G20" s="174"/>
      <c r="H20" s="174"/>
      <c r="I20" s="174"/>
      <c r="J20" s="174"/>
      <c r="K20" s="167"/>
      <c r="L20" s="159"/>
    </row>
    <row r="21" spans="1:12" ht="16.5" customHeight="1">
      <c r="A21" s="167"/>
      <c r="B21" s="166"/>
      <c r="C21" s="174"/>
      <c r="D21" s="172" t="s">
        <v>495</v>
      </c>
      <c r="E21" s="172"/>
      <c r="F21" s="178"/>
      <c r="G21" s="227">
        <v>0</v>
      </c>
      <c r="H21" s="177" t="s">
        <v>187</v>
      </c>
      <c r="I21" s="177"/>
      <c r="J21" s="177"/>
      <c r="K21" s="167"/>
      <c r="L21" s="159"/>
    </row>
    <row r="22" spans="1:12" ht="4.5" customHeight="1">
      <c r="A22" s="167"/>
      <c r="B22" s="166"/>
      <c r="C22" s="176"/>
      <c r="D22" s="225"/>
      <c r="E22" s="226"/>
      <c r="F22" s="226"/>
      <c r="G22" s="226"/>
      <c r="H22" s="226"/>
      <c r="I22" s="226"/>
      <c r="J22" s="226"/>
      <c r="K22" s="167"/>
      <c r="L22" s="159"/>
    </row>
    <row r="23" spans="1:12" ht="16.5" customHeight="1">
      <c r="A23" s="167"/>
      <c r="B23" s="166"/>
      <c r="C23" s="176"/>
      <c r="D23" s="79" t="s">
        <v>449</v>
      </c>
      <c r="E23" s="65"/>
      <c r="F23" s="76"/>
      <c r="G23" s="227">
        <v>2.5</v>
      </c>
      <c r="H23" s="119"/>
      <c r="I23" s="62"/>
      <c r="J23" s="62"/>
      <c r="K23" s="167"/>
      <c r="L23" s="159"/>
    </row>
    <row r="24" spans="1:12" ht="15" customHeight="1">
      <c r="A24" s="167"/>
      <c r="B24" s="166"/>
      <c r="C24" s="176"/>
      <c r="D24" s="97" t="s">
        <v>153</v>
      </c>
      <c r="E24" s="65"/>
      <c r="F24" s="76"/>
      <c r="G24" s="76"/>
      <c r="H24" s="92"/>
      <c r="I24" s="62"/>
      <c r="J24" s="62"/>
      <c r="K24" s="167"/>
      <c r="L24" s="159"/>
    </row>
    <row r="25" spans="1:12" ht="16.5" customHeight="1">
      <c r="A25" s="167"/>
      <c r="B25" s="166"/>
      <c r="C25" s="176"/>
      <c r="D25" s="225"/>
      <c r="E25" s="226"/>
      <c r="F25" s="226"/>
      <c r="G25" s="226"/>
      <c r="H25" s="226"/>
      <c r="I25" s="226"/>
      <c r="J25" s="226"/>
      <c r="K25" s="167"/>
      <c r="L25" s="159"/>
    </row>
    <row r="26" spans="1:12" ht="17.25" customHeight="1">
      <c r="A26" s="344" t="s">
        <v>430</v>
      </c>
      <c r="B26" s="344"/>
      <c r="C26" s="344"/>
      <c r="D26" s="344"/>
      <c r="E26" s="344"/>
      <c r="F26" s="344"/>
      <c r="G26" s="344"/>
      <c r="H26" s="344"/>
      <c r="I26" s="344"/>
      <c r="J26" s="344"/>
      <c r="K26" s="167"/>
      <c r="L26" s="159"/>
    </row>
    <row r="27" spans="1:12" ht="9" customHeight="1">
      <c r="A27" s="167"/>
      <c r="B27" s="166"/>
      <c r="C27" s="176"/>
      <c r="D27" s="225"/>
      <c r="E27" s="226"/>
      <c r="F27" s="226"/>
      <c r="G27" s="226"/>
      <c r="H27" s="226"/>
      <c r="I27" s="226"/>
      <c r="J27" s="226"/>
      <c r="K27" s="167"/>
      <c r="L27" s="159"/>
    </row>
    <row r="28" spans="1:12" ht="14.25" customHeight="1">
      <c r="A28" s="167"/>
      <c r="B28" s="166"/>
      <c r="C28" s="173" t="s">
        <v>481</v>
      </c>
      <c r="D28" s="225"/>
      <c r="E28" s="226"/>
      <c r="F28" s="226"/>
      <c r="G28" s="226"/>
      <c r="H28" s="226"/>
      <c r="I28" s="226"/>
      <c r="J28" s="226"/>
      <c r="K28" s="167"/>
      <c r="L28" s="159"/>
    </row>
    <row r="29" spans="1:12" ht="16.5" customHeight="1">
      <c r="A29" s="167"/>
      <c r="B29" s="166"/>
      <c r="C29" s="174"/>
      <c r="D29" s="167" t="s">
        <v>431</v>
      </c>
      <c r="E29" s="174"/>
      <c r="F29" s="174"/>
      <c r="G29" s="227">
        <v>0</v>
      </c>
      <c r="H29" s="177" t="s">
        <v>78</v>
      </c>
      <c r="I29" s="226"/>
      <c r="J29" s="226"/>
      <c r="K29" s="167"/>
      <c r="L29" s="159"/>
    </row>
    <row r="30" spans="1:12" ht="3.75" customHeight="1">
      <c r="A30" s="167"/>
      <c r="B30" s="166"/>
      <c r="C30" s="174"/>
      <c r="D30" s="167"/>
      <c r="E30" s="174"/>
      <c r="F30" s="174"/>
      <c r="G30" s="162"/>
      <c r="H30" s="174"/>
      <c r="I30" s="226"/>
      <c r="J30" s="226"/>
      <c r="K30" s="167"/>
      <c r="L30" s="159"/>
    </row>
    <row r="31" spans="1:12" ht="16.5" customHeight="1">
      <c r="A31" s="167"/>
      <c r="B31" s="166"/>
      <c r="C31" s="174"/>
      <c r="D31" s="229" t="s">
        <v>432</v>
      </c>
      <c r="E31" s="162"/>
      <c r="F31" s="162"/>
      <c r="G31" s="227">
        <v>0</v>
      </c>
      <c r="H31" s="177" t="s">
        <v>78</v>
      </c>
      <c r="I31" s="226"/>
      <c r="J31" s="226"/>
      <c r="K31" s="167"/>
      <c r="L31" s="159"/>
    </row>
    <row r="32" spans="1:12" ht="6" customHeight="1">
      <c r="A32" s="167"/>
      <c r="B32" s="166"/>
      <c r="C32" s="174"/>
      <c r="D32" s="169"/>
      <c r="E32" s="162"/>
      <c r="F32" s="162"/>
      <c r="G32" s="174"/>
      <c r="H32" s="162"/>
      <c r="I32" s="174"/>
      <c r="J32" s="226"/>
      <c r="K32" s="167"/>
      <c r="L32" s="159"/>
    </row>
    <row r="33" spans="1:12" ht="16.5" customHeight="1">
      <c r="A33" s="167"/>
      <c r="B33" s="166"/>
      <c r="C33" s="174"/>
      <c r="D33" s="172" t="s">
        <v>433</v>
      </c>
      <c r="E33" s="162"/>
      <c r="F33" s="162"/>
      <c r="G33" s="244">
        <f>G31*G29</f>
        <v>0</v>
      </c>
      <c r="H33" s="177" t="s">
        <v>122</v>
      </c>
      <c r="I33" s="226"/>
      <c r="J33" s="226"/>
      <c r="K33" s="167"/>
      <c r="L33" s="159"/>
    </row>
    <row r="34" spans="1:12" ht="9.75" customHeight="1">
      <c r="A34" s="167"/>
      <c r="B34" s="166"/>
      <c r="C34" s="174"/>
      <c r="D34" s="172"/>
      <c r="E34" s="162"/>
      <c r="F34" s="162"/>
      <c r="G34" s="244"/>
      <c r="H34" s="177"/>
      <c r="I34" s="226"/>
      <c r="J34" s="226"/>
      <c r="K34" s="167"/>
      <c r="L34" s="159"/>
    </row>
    <row r="35" spans="1:12" ht="16.5" customHeight="1">
      <c r="A35" s="167"/>
      <c r="B35" s="166"/>
      <c r="C35" s="173" t="s">
        <v>482</v>
      </c>
      <c r="D35" s="174"/>
      <c r="E35" s="174"/>
      <c r="F35" s="174"/>
      <c r="G35" s="174"/>
      <c r="H35" s="174"/>
      <c r="I35" s="226"/>
      <c r="J35" s="226"/>
      <c r="K35" s="167"/>
      <c r="L35" s="159"/>
    </row>
    <row r="36" spans="1:12" ht="16.5" customHeight="1">
      <c r="A36" s="167"/>
      <c r="B36" s="166"/>
      <c r="C36" s="174"/>
      <c r="D36" s="229" t="s">
        <v>434</v>
      </c>
      <c r="E36" s="169"/>
      <c r="F36" s="169"/>
      <c r="G36" s="245">
        <v>0</v>
      </c>
      <c r="H36" s="180" t="s">
        <v>188</v>
      </c>
      <c r="I36" s="234"/>
      <c r="J36" s="226"/>
      <c r="K36" s="167"/>
      <c r="L36" s="159"/>
    </row>
    <row r="37" spans="1:12" ht="4.5" customHeight="1">
      <c r="A37" s="167"/>
      <c r="B37" s="166"/>
      <c r="C37" s="174"/>
      <c r="D37" s="229"/>
      <c r="E37" s="169"/>
      <c r="F37" s="169"/>
      <c r="G37" s="169"/>
      <c r="H37" s="180"/>
      <c r="I37" s="228"/>
      <c r="J37" s="226"/>
      <c r="K37" s="167"/>
      <c r="L37" s="159"/>
    </row>
    <row r="38" spans="1:12" ht="19.5" customHeight="1">
      <c r="A38" s="167"/>
      <c r="B38" s="166"/>
      <c r="C38" s="174"/>
      <c r="D38" s="229" t="s">
        <v>435</v>
      </c>
      <c r="E38" s="169"/>
      <c r="F38" s="169"/>
      <c r="G38" s="245">
        <v>0</v>
      </c>
      <c r="H38" s="347" t="s">
        <v>436</v>
      </c>
      <c r="I38" s="347"/>
      <c r="J38" s="226"/>
      <c r="K38" s="167"/>
      <c r="L38" s="159"/>
    </row>
    <row r="39" spans="1:12" ht="6" customHeight="1">
      <c r="A39" s="167"/>
      <c r="B39" s="166"/>
      <c r="C39" s="174"/>
      <c r="D39" s="229"/>
      <c r="E39" s="169"/>
      <c r="F39" s="169"/>
      <c r="G39" s="169"/>
      <c r="H39" s="180"/>
      <c r="I39" s="228"/>
      <c r="J39" s="226"/>
      <c r="K39" s="167"/>
      <c r="L39" s="159"/>
    </row>
    <row r="40" spans="1:12" ht="12.75" customHeight="1">
      <c r="A40" s="167"/>
      <c r="B40" s="166"/>
      <c r="C40" s="174"/>
      <c r="D40" s="347" t="s">
        <v>479</v>
      </c>
      <c r="E40" s="347"/>
      <c r="F40" s="347"/>
      <c r="G40" s="245">
        <v>0</v>
      </c>
      <c r="H40" s="180" t="s">
        <v>437</v>
      </c>
      <c r="I40" s="228"/>
      <c r="J40" s="167"/>
      <c r="K40" s="167"/>
      <c r="L40" s="159"/>
    </row>
    <row r="41" spans="1:12" ht="12.75" customHeight="1">
      <c r="A41" s="167"/>
      <c r="B41" s="166"/>
      <c r="C41" s="174"/>
      <c r="D41" s="233"/>
      <c r="E41" s="233"/>
      <c r="F41" s="233"/>
      <c r="G41" s="179"/>
      <c r="H41" s="180"/>
      <c r="I41" s="228"/>
      <c r="J41" s="167"/>
      <c r="K41" s="167"/>
      <c r="L41" s="159"/>
    </row>
    <row r="42" spans="1:12" ht="18" customHeight="1">
      <c r="A42" s="345" t="s">
        <v>146</v>
      </c>
      <c r="B42" s="345"/>
      <c r="C42" s="345"/>
      <c r="D42" s="345"/>
      <c r="E42" s="345"/>
      <c r="F42" s="345"/>
      <c r="G42" s="345"/>
      <c r="H42" s="345"/>
      <c r="I42" s="345"/>
      <c r="J42" s="345"/>
      <c r="K42" s="167"/>
      <c r="L42" s="159"/>
    </row>
    <row r="43" spans="1:12" ht="12.75" customHeight="1">
      <c r="A43" s="167"/>
      <c r="B43" s="166"/>
      <c r="C43" s="174"/>
      <c r="D43" s="174"/>
      <c r="E43" s="174"/>
      <c r="F43" s="174"/>
      <c r="G43" s="174"/>
      <c r="H43" s="174"/>
      <c r="I43" s="174"/>
      <c r="J43" s="174"/>
      <c r="K43" s="167"/>
      <c r="L43" s="159"/>
    </row>
    <row r="44" spans="1:12" ht="12.75" customHeight="1">
      <c r="A44" s="167"/>
      <c r="B44" s="166"/>
      <c r="C44" s="172" t="s">
        <v>438</v>
      </c>
      <c r="D44" s="162"/>
      <c r="E44" s="162"/>
      <c r="F44" s="232"/>
      <c r="G44" s="245">
        <v>0</v>
      </c>
      <c r="H44" s="180" t="s">
        <v>124</v>
      </c>
      <c r="I44" s="174"/>
      <c r="J44" s="174"/>
      <c r="K44" s="167"/>
      <c r="L44" s="159"/>
    </row>
    <row r="45" spans="1:12" ht="7.5" customHeight="1">
      <c r="A45" s="167"/>
      <c r="B45" s="166"/>
      <c r="C45" s="172"/>
      <c r="D45" s="162"/>
      <c r="E45" s="162"/>
      <c r="F45" s="162"/>
      <c r="G45" s="174"/>
      <c r="H45" s="174"/>
      <c r="I45" s="174"/>
      <c r="J45" s="174"/>
      <c r="K45" s="167"/>
      <c r="L45" s="159"/>
    </row>
    <row r="46" spans="1:12" ht="12.75" customHeight="1">
      <c r="A46" s="167"/>
      <c r="B46" s="166"/>
      <c r="C46" s="172" t="s">
        <v>439</v>
      </c>
      <c r="D46" s="162"/>
      <c r="E46" s="162"/>
      <c r="F46" s="232"/>
      <c r="G46" s="245">
        <v>0</v>
      </c>
      <c r="H46" s="180" t="s">
        <v>186</v>
      </c>
      <c r="I46" s="174"/>
      <c r="J46" s="174"/>
      <c r="K46" s="167"/>
      <c r="L46" s="159"/>
    </row>
    <row r="47" spans="1:12" ht="12.75" customHeight="1">
      <c r="A47" s="167"/>
      <c r="B47" s="166"/>
      <c r="C47" s="174"/>
      <c r="D47" s="230"/>
      <c r="E47" s="162"/>
      <c r="F47" s="162"/>
      <c r="G47" s="231"/>
      <c r="H47" s="180"/>
      <c r="I47" s="228"/>
      <c r="J47" s="167"/>
      <c r="K47" s="167"/>
      <c r="L47" s="159"/>
    </row>
    <row r="48" spans="1:12" ht="12.75" customHeight="1">
      <c r="A48" s="167"/>
      <c r="B48" s="166"/>
      <c r="C48" s="174"/>
      <c r="D48" s="230"/>
      <c r="E48" s="162"/>
      <c r="F48" s="162"/>
      <c r="G48" s="231"/>
      <c r="H48" s="180"/>
      <c r="I48" s="228"/>
      <c r="J48" s="167"/>
      <c r="K48" s="167"/>
      <c r="L48" s="159"/>
    </row>
    <row r="49" spans="1:12" ht="15.75" customHeight="1">
      <c r="A49" s="345" t="s">
        <v>480</v>
      </c>
      <c r="B49" s="345"/>
      <c r="C49" s="345"/>
      <c r="D49" s="345"/>
      <c r="E49" s="345"/>
      <c r="F49" s="345"/>
      <c r="G49" s="345"/>
      <c r="H49" s="345"/>
      <c r="I49" s="345"/>
      <c r="J49" s="345"/>
      <c r="K49" s="167"/>
      <c r="L49" s="159"/>
    </row>
    <row r="50" spans="1:12" ht="12.75" customHeight="1">
      <c r="A50" s="167"/>
      <c r="B50" s="166"/>
      <c r="C50" s="174"/>
      <c r="D50" s="230"/>
      <c r="E50" s="162"/>
      <c r="F50" s="162"/>
      <c r="G50" s="231"/>
      <c r="H50" s="180"/>
      <c r="I50" s="228"/>
      <c r="J50" s="167"/>
      <c r="K50" s="167"/>
      <c r="L50" s="159"/>
    </row>
    <row r="51" spans="1:12" ht="15.75" customHeight="1">
      <c r="A51" s="167"/>
      <c r="B51" s="166"/>
      <c r="C51" s="172" t="s">
        <v>483</v>
      </c>
      <c r="D51" s="175"/>
      <c r="E51" s="174"/>
      <c r="G51" s="227">
        <v>0</v>
      </c>
      <c r="H51" s="177" t="s">
        <v>98</v>
      </c>
      <c r="I51" s="174"/>
      <c r="J51" s="167"/>
      <c r="K51" s="167"/>
      <c r="L51" s="159"/>
    </row>
    <row r="52" spans="1:12" ht="4.5" customHeight="1">
      <c r="A52" s="167"/>
      <c r="B52" s="166"/>
      <c r="C52" s="352"/>
      <c r="D52" s="353"/>
      <c r="E52" s="353"/>
      <c r="F52" s="353"/>
      <c r="G52" s="353"/>
      <c r="H52" s="353"/>
      <c r="I52" s="353"/>
      <c r="J52" s="167"/>
      <c r="K52" s="167"/>
      <c r="L52" s="159"/>
    </row>
    <row r="53" spans="1:12" ht="12.75" customHeight="1">
      <c r="A53" s="167"/>
      <c r="B53" s="166"/>
      <c r="C53" s="354" t="s">
        <v>484</v>
      </c>
      <c r="D53" s="354"/>
      <c r="E53" s="354"/>
      <c r="F53" s="354"/>
      <c r="G53" s="227">
        <v>0</v>
      </c>
      <c r="H53" s="177" t="s">
        <v>98</v>
      </c>
      <c r="I53" s="272"/>
      <c r="J53" s="167"/>
      <c r="K53" s="167"/>
      <c r="L53" s="159"/>
    </row>
    <row r="54" spans="1:12" ht="12.75" customHeight="1">
      <c r="A54" s="167"/>
      <c r="B54" s="166"/>
      <c r="C54" s="174"/>
      <c r="D54" s="229"/>
      <c r="E54" s="169"/>
      <c r="F54" s="169"/>
      <c r="G54" s="231"/>
      <c r="H54" s="180"/>
      <c r="I54" s="228"/>
      <c r="J54" s="167"/>
      <c r="K54" s="167"/>
      <c r="L54" s="159"/>
    </row>
    <row r="55" spans="1:12" ht="12.75" customHeight="1">
      <c r="A55" s="167"/>
      <c r="B55" s="166"/>
      <c r="C55" s="174"/>
      <c r="D55" s="229"/>
      <c r="E55" s="169"/>
      <c r="F55" s="169"/>
      <c r="G55" s="231"/>
      <c r="H55" s="180"/>
      <c r="I55" s="228"/>
      <c r="J55" s="167"/>
      <c r="K55" s="167"/>
      <c r="L55" s="159"/>
    </row>
    <row r="56" spans="1:12" ht="12.75" customHeight="1">
      <c r="A56" s="334" t="s">
        <v>450</v>
      </c>
      <c r="B56" s="334"/>
      <c r="C56" s="334"/>
      <c r="D56" s="334"/>
      <c r="E56" s="334"/>
      <c r="F56" s="334"/>
      <c r="G56" s="334"/>
      <c r="H56" s="334"/>
      <c r="I56" s="334"/>
      <c r="J56" s="334"/>
      <c r="K56" s="167"/>
      <c r="L56" s="159"/>
    </row>
    <row r="57" spans="1:12" ht="12.75" customHeight="1">
      <c r="A57" s="66"/>
      <c r="B57" s="66"/>
      <c r="C57" s="66"/>
      <c r="D57" s="67"/>
      <c r="E57" s="67"/>
      <c r="F57" s="73"/>
      <c r="G57" s="70"/>
      <c r="H57" s="62"/>
      <c r="I57" s="62"/>
      <c r="J57" s="62"/>
      <c r="K57" s="167"/>
      <c r="L57" s="159"/>
    </row>
    <row r="58" spans="1:12" ht="12.75" customHeight="1">
      <c r="A58" s="70"/>
      <c r="B58" s="247"/>
      <c r="C58" s="79" t="s">
        <v>155</v>
      </c>
      <c r="D58" s="76"/>
      <c r="E58" s="76"/>
      <c r="G58" s="246">
        <v>0</v>
      </c>
      <c r="H58" s="62" t="s">
        <v>156</v>
      </c>
      <c r="I58" s="94"/>
      <c r="J58" s="70"/>
      <c r="K58" s="167"/>
      <c r="L58" s="159"/>
    </row>
    <row r="59" spans="1:12" ht="27" customHeight="1">
      <c r="A59" s="99"/>
      <c r="B59" s="247"/>
      <c r="C59" s="314" t="s">
        <v>497</v>
      </c>
      <c r="D59" s="314"/>
      <c r="E59" s="314"/>
      <c r="F59" s="314"/>
      <c r="G59" s="314"/>
      <c r="H59" s="314"/>
      <c r="I59" s="314"/>
      <c r="J59" s="314"/>
      <c r="K59" s="314"/>
      <c r="L59" s="159"/>
    </row>
    <row r="60" spans="1:12" ht="12.75" customHeight="1">
      <c r="A60" s="167"/>
      <c r="B60" s="166"/>
      <c r="C60" s="174"/>
      <c r="D60" s="229"/>
      <c r="E60" s="169"/>
      <c r="F60" s="169"/>
      <c r="G60" s="231"/>
      <c r="H60" s="180"/>
      <c r="I60" s="228"/>
      <c r="J60" s="167"/>
      <c r="K60" s="167"/>
      <c r="L60" s="159"/>
    </row>
    <row r="61" spans="1:12" ht="12.75" customHeight="1">
      <c r="A61" s="167"/>
      <c r="B61" s="166"/>
      <c r="C61" s="174"/>
      <c r="D61" s="229"/>
      <c r="E61" s="169"/>
      <c r="F61" s="169"/>
      <c r="G61" s="231"/>
      <c r="H61" s="180"/>
      <c r="I61" s="228"/>
      <c r="J61" s="167"/>
      <c r="K61" s="167"/>
      <c r="L61" s="159"/>
    </row>
    <row r="62" spans="1:12" ht="15.75" customHeight="1">
      <c r="A62" s="345" t="s">
        <v>451</v>
      </c>
      <c r="B62" s="345"/>
      <c r="C62" s="345"/>
      <c r="D62" s="345"/>
      <c r="E62" s="345"/>
      <c r="F62" s="345"/>
      <c r="G62" s="345"/>
      <c r="H62" s="345"/>
      <c r="I62" s="345"/>
      <c r="J62" s="345"/>
      <c r="K62" s="167"/>
      <c r="L62" s="159"/>
    </row>
    <row r="63" spans="1:12" ht="9.75" customHeight="1">
      <c r="A63" s="273"/>
      <c r="B63" s="273"/>
      <c r="C63" s="273"/>
      <c r="D63" s="273"/>
      <c r="E63" s="273"/>
      <c r="F63" s="273"/>
      <c r="G63" s="273"/>
      <c r="H63" s="273"/>
      <c r="I63" s="273"/>
      <c r="J63" s="273"/>
      <c r="K63" s="167"/>
      <c r="L63" s="159"/>
    </row>
    <row r="64" spans="1:12" ht="12.75" customHeight="1">
      <c r="A64" s="167"/>
      <c r="B64" s="166"/>
      <c r="C64" s="274" t="str">
        <f>IF(G16&gt;4,"La temperature la cámara de refrigeración es superior a 4°C, por lo que ningún proceso de deshielo es requerido","Este cálculo aplica únicamente cuando la temperatura de la cámara de refrigeración es inferior o igual a 4°C")</f>
        <v>Este cálculo aplica únicamente cuando la temperatura de la cámara de refrigeración es inferior o igual a 4°C</v>
      </c>
      <c r="D64" s="229"/>
      <c r="E64" s="169"/>
      <c r="F64" s="169"/>
      <c r="G64" s="231"/>
      <c r="H64" s="180"/>
      <c r="I64" s="228"/>
      <c r="J64" s="167"/>
      <c r="K64" s="167"/>
      <c r="L64" s="159"/>
    </row>
    <row r="65" spans="1:12" ht="12.75" customHeight="1">
      <c r="A65" s="167"/>
      <c r="B65" s="166"/>
      <c r="C65" s="274"/>
      <c r="D65" s="229"/>
      <c r="E65" s="169"/>
      <c r="F65" s="169"/>
      <c r="G65" s="231"/>
      <c r="H65" s="180"/>
      <c r="I65" s="228"/>
      <c r="J65" s="167"/>
      <c r="K65" s="167"/>
      <c r="L65" s="159"/>
    </row>
    <row r="66" spans="1:12" ht="17.25" customHeight="1">
      <c r="A66" s="167"/>
      <c r="B66" s="166"/>
      <c r="C66" s="276" t="s">
        <v>489</v>
      </c>
      <c r="D66" s="229"/>
      <c r="E66" s="169"/>
      <c r="F66" s="169"/>
      <c r="G66" s="231"/>
      <c r="H66" s="180"/>
      <c r="I66" s="228"/>
      <c r="J66" s="167"/>
      <c r="K66" s="167"/>
      <c r="L66" s="159"/>
    </row>
    <row r="67" spans="1:12" ht="21.75" customHeight="1">
      <c r="A67" s="167"/>
      <c r="B67" s="166"/>
      <c r="C67" s="275" t="s">
        <v>487</v>
      </c>
      <c r="D67" s="229"/>
      <c r="E67" s="169"/>
      <c r="F67" s="169"/>
      <c r="G67" s="231"/>
      <c r="H67" s="180"/>
      <c r="I67" s="228"/>
      <c r="J67" s="167"/>
      <c r="K67" s="167"/>
      <c r="L67" s="159"/>
    </row>
    <row r="68" spans="1:12" ht="10.5" customHeight="1">
      <c r="A68" s="167"/>
      <c r="B68" s="166"/>
      <c r="C68" s="173"/>
      <c r="D68" s="229"/>
      <c r="E68" s="169"/>
      <c r="F68" s="169"/>
      <c r="G68" s="277"/>
      <c r="H68" s="180"/>
      <c r="I68" s="228"/>
      <c r="J68" s="167"/>
      <c r="K68" s="167"/>
      <c r="L68" s="159"/>
    </row>
    <row r="69" spans="1:12" ht="15" customHeight="1">
      <c r="A69" s="167"/>
      <c r="B69" s="166"/>
      <c r="C69" s="229" t="s">
        <v>488</v>
      </c>
      <c r="D69" s="229"/>
      <c r="E69" s="229"/>
      <c r="F69" s="229"/>
      <c r="G69" s="278">
        <f>IF(G16&lt;=4,E127/150*1000," ")</f>
        <v>0</v>
      </c>
      <c r="H69" s="229" t="str">
        <f>IF(G16&lt;=4,"dm³/día"," ")</f>
        <v>dm³/día</v>
      </c>
      <c r="I69" s="229"/>
      <c r="J69" s="229"/>
      <c r="K69" s="167"/>
      <c r="L69" s="159"/>
    </row>
    <row r="70" spans="1:12" ht="3" hidden="1" customHeight="1">
      <c r="A70" s="167"/>
      <c r="B70" s="166"/>
      <c r="C70" s="229"/>
      <c r="D70" s="229"/>
      <c r="E70" s="229"/>
      <c r="F70" s="229"/>
      <c r="G70" s="229"/>
      <c r="H70" s="229"/>
      <c r="I70" s="229"/>
      <c r="J70" s="229"/>
      <c r="K70" s="167"/>
      <c r="L70" s="159"/>
    </row>
    <row r="71" spans="1:12" ht="26.25" customHeight="1">
      <c r="A71" s="167"/>
      <c r="B71" s="166"/>
      <c r="C71" s="353" t="str">
        <f>IF(G16&lt;=4,"(Representa el volumen de escarche / hielo al nivel del evaporador. Este valor permite prever la cantidad de procesos de deshielo en función del tamaño del o los evaporadores así como del espacio entre aletas elegido)"," ")</f>
        <v>(Representa el volumen de escarche / hielo al nivel del evaporador. Este valor permite prever la cantidad de procesos de deshielo en función del tamaño del o los evaporadores así como del espacio entre aletas elegido)</v>
      </c>
      <c r="D71" s="353"/>
      <c r="E71" s="353"/>
      <c r="F71" s="353"/>
      <c r="G71" s="353"/>
      <c r="H71" s="353"/>
      <c r="I71" s="353"/>
      <c r="J71" s="353"/>
      <c r="K71" s="167"/>
      <c r="L71" s="159"/>
    </row>
    <row r="72" spans="1:12" ht="6.75" customHeight="1">
      <c r="A72" s="167"/>
      <c r="B72" s="166"/>
      <c r="C72" s="229"/>
      <c r="D72" s="229"/>
      <c r="E72" s="229"/>
      <c r="F72" s="229"/>
      <c r="G72" s="229"/>
      <c r="H72" s="229"/>
      <c r="I72" s="229"/>
      <c r="J72" s="229"/>
      <c r="K72" s="167"/>
      <c r="L72" s="159"/>
    </row>
    <row r="73" spans="1:12" ht="21" customHeight="1">
      <c r="A73" s="167"/>
      <c r="B73" s="166"/>
      <c r="C73" s="229" t="s">
        <v>490</v>
      </c>
      <c r="D73" s="229"/>
      <c r="E73" s="229"/>
      <c r="F73" s="229"/>
      <c r="G73" s="281">
        <f>IF(G16&lt;=2,(G21*G51*(1/3*0.38+2/3*0.9)*(10-G16+4)+E127*(2.1*(4-G16)+336+4.186*10))/0.6/3600," ")</f>
        <v>0</v>
      </c>
      <c r="H73" s="229" t="s">
        <v>493</v>
      </c>
      <c r="I73" s="236"/>
      <c r="J73" s="236"/>
      <c r="K73" s="167"/>
      <c r="L73" s="159"/>
    </row>
    <row r="74" spans="1:12" ht="6.75" customHeight="1">
      <c r="A74" s="167"/>
      <c r="B74" s="166"/>
      <c r="C74" s="167"/>
      <c r="D74" s="167"/>
      <c r="E74" s="167"/>
      <c r="F74" s="167"/>
      <c r="G74" s="167"/>
      <c r="H74" s="167"/>
      <c r="I74" s="167"/>
      <c r="J74" s="167"/>
      <c r="K74" s="167"/>
      <c r="L74" s="159"/>
    </row>
    <row r="75" spans="1:12" ht="17.25" customHeight="1">
      <c r="A75" s="167"/>
      <c r="B75" s="166"/>
      <c r="C75" s="241" t="s">
        <v>491</v>
      </c>
      <c r="D75" s="167"/>
      <c r="E75" s="167"/>
      <c r="F75" s="167"/>
      <c r="G75" s="278">
        <f>IF(G16&lt;=2,(G73*3600-0.9*E127*(2.1*(4-G16)+336+4.186*10))/3600," ")</f>
        <v>0</v>
      </c>
      <c r="H75" s="229" t="s">
        <v>493</v>
      </c>
      <c r="I75" s="167"/>
      <c r="J75" s="167"/>
      <c r="K75" s="167"/>
      <c r="L75" s="159"/>
    </row>
    <row r="76" spans="1:12" ht="2.25" customHeight="1">
      <c r="A76" s="167"/>
      <c r="B76" s="166"/>
      <c r="C76" s="233"/>
      <c r="D76" s="233"/>
      <c r="E76" s="233"/>
      <c r="F76" s="233"/>
      <c r="G76" s="180"/>
      <c r="H76" s="229"/>
      <c r="I76" s="229"/>
      <c r="J76" s="229"/>
      <c r="K76" s="167"/>
      <c r="L76" s="159"/>
    </row>
    <row r="77" spans="1:12" ht="42" customHeight="1">
      <c r="A77" s="167"/>
      <c r="B77" s="166"/>
      <c r="C77" s="348" t="s">
        <v>492</v>
      </c>
      <c r="D77" s="349"/>
      <c r="E77" s="349"/>
      <c r="F77" s="349"/>
      <c r="G77" s="349"/>
      <c r="H77" s="349"/>
      <c r="I77" s="349"/>
      <c r="J77" s="349"/>
      <c r="K77" s="167"/>
      <c r="L77" s="159"/>
    </row>
    <row r="78" spans="1:12" ht="13.5" customHeight="1">
      <c r="A78" s="167"/>
      <c r="B78" s="166"/>
      <c r="C78" s="350"/>
      <c r="D78" s="351"/>
      <c r="E78" s="351"/>
      <c r="F78" s="351"/>
      <c r="G78" s="351"/>
      <c r="H78" s="351"/>
      <c r="I78" s="351"/>
      <c r="J78" s="351"/>
      <c r="K78" s="167"/>
      <c r="L78" s="159"/>
    </row>
    <row r="79" spans="1:12" ht="27" customHeight="1">
      <c r="A79" s="167"/>
      <c r="B79" s="166"/>
      <c r="C79" s="276" t="s">
        <v>494</v>
      </c>
      <c r="D79" s="279"/>
      <c r="E79" s="279"/>
      <c r="F79" s="279"/>
      <c r="G79" s="279"/>
      <c r="H79" s="279"/>
      <c r="I79" s="279"/>
      <c r="J79" s="279"/>
      <c r="K79" s="167"/>
      <c r="L79" s="159"/>
    </row>
    <row r="80" spans="1:12" ht="15" customHeight="1">
      <c r="A80" s="167"/>
      <c r="B80" s="166"/>
      <c r="C80" s="229" t="s">
        <v>488</v>
      </c>
      <c r="D80" s="279"/>
      <c r="E80" s="279"/>
      <c r="F80" s="279"/>
      <c r="G80" s="280">
        <f>IF(G16&lt;=4,E127/150*1000," ")</f>
        <v>0</v>
      </c>
      <c r="H80" s="229" t="str">
        <f>IF(G16&lt;=4,"dm³/día"," ")</f>
        <v>dm³/día</v>
      </c>
      <c r="I80" s="279"/>
      <c r="J80" s="279"/>
      <c r="K80" s="167"/>
      <c r="L80" s="159"/>
    </row>
    <row r="81" spans="1:12" ht="18.75" customHeight="1">
      <c r="A81" s="167"/>
      <c r="B81" s="166"/>
      <c r="C81" s="229" t="s">
        <v>490</v>
      </c>
      <c r="D81" s="272"/>
      <c r="E81" s="272"/>
      <c r="F81" s="272"/>
      <c r="G81" s="269">
        <f>IF(G16&lt;=2,(G53*G21*(1/3*0.38+2/3*0.9)*(10-G16+4)+E127*(2.1*(4-G16)+336+4.186*10))/0.6/3600," ")</f>
        <v>0</v>
      </c>
      <c r="H81" s="229" t="s">
        <v>493</v>
      </c>
      <c r="I81" s="230"/>
      <c r="J81" s="229"/>
      <c r="K81" s="167"/>
      <c r="L81" s="159"/>
    </row>
    <row r="82" spans="1:12" ht="13.5" customHeight="1">
      <c r="A82" s="167"/>
      <c r="B82" s="166"/>
      <c r="C82" s="241" t="s">
        <v>491</v>
      </c>
      <c r="D82" s="237"/>
      <c r="E82" s="237"/>
      <c r="F82" s="240"/>
      <c r="G82" s="278">
        <f>IF(G16&lt;=2,(G81*3600-0.9*E127*(2.1*(4-G16)+336+4.186*10))/3600," ")</f>
        <v>0</v>
      </c>
      <c r="H82" s="229" t="s">
        <v>493</v>
      </c>
      <c r="I82" s="237"/>
      <c r="J82" s="229"/>
      <c r="K82" s="167"/>
      <c r="L82" s="159"/>
    </row>
    <row r="83" spans="1:12" ht="12.75" customHeight="1">
      <c r="A83" s="167"/>
      <c r="B83" s="166"/>
      <c r="C83" s="238"/>
      <c r="D83" s="229"/>
      <c r="E83" s="229"/>
      <c r="F83" s="229"/>
      <c r="G83" s="177"/>
      <c r="H83" s="229"/>
      <c r="I83" s="229"/>
      <c r="J83" s="229"/>
      <c r="K83" s="167"/>
      <c r="L83" s="159"/>
    </row>
    <row r="84" spans="1:12" ht="18" customHeight="1">
      <c r="A84" s="167"/>
      <c r="B84" s="166"/>
      <c r="C84" s="173" t="s">
        <v>454</v>
      </c>
      <c r="D84" s="229"/>
      <c r="E84" s="229"/>
      <c r="F84" s="229"/>
      <c r="G84" s="177"/>
      <c r="H84" s="119"/>
      <c r="I84" s="229"/>
      <c r="J84" s="229"/>
      <c r="K84" s="167"/>
      <c r="L84" s="159"/>
    </row>
    <row r="85" spans="1:12" ht="15" customHeight="1">
      <c r="A85" s="167"/>
      <c r="B85" s="166"/>
      <c r="C85" s="242" t="s">
        <v>447</v>
      </c>
      <c r="D85" s="229"/>
      <c r="E85" s="229"/>
      <c r="F85" s="229"/>
      <c r="G85" s="267">
        <f>G73+G75/$G$23-(G81+G82/$G$23)</f>
        <v>0</v>
      </c>
      <c r="H85" s="229" t="s">
        <v>443</v>
      </c>
      <c r="I85" s="229"/>
      <c r="J85" s="229"/>
      <c r="K85" s="167"/>
      <c r="L85" s="159"/>
    </row>
    <row r="86" spans="1:12" ht="3.75" customHeight="1">
      <c r="A86" s="167"/>
      <c r="B86" s="166"/>
      <c r="D86" s="229"/>
      <c r="E86" s="229"/>
      <c r="F86" s="229"/>
      <c r="G86" s="267"/>
      <c r="H86" s="229"/>
      <c r="I86" s="229"/>
      <c r="J86" s="229"/>
      <c r="K86" s="167"/>
      <c r="L86" s="159"/>
    </row>
    <row r="87" spans="1:12" ht="12.75" customHeight="1">
      <c r="A87" s="167"/>
      <c r="B87" s="166"/>
      <c r="C87" s="242"/>
      <c r="D87" s="229"/>
      <c r="E87" s="229"/>
      <c r="F87" s="229"/>
      <c r="G87" s="268">
        <f>G85*365</f>
        <v>0</v>
      </c>
      <c r="H87" s="243" t="s">
        <v>448</v>
      </c>
      <c r="I87" s="229"/>
      <c r="J87" s="229"/>
      <c r="K87" s="167"/>
      <c r="L87" s="159"/>
    </row>
    <row r="88" spans="1:12" ht="12.75" customHeight="1">
      <c r="A88" s="167"/>
      <c r="B88" s="166"/>
      <c r="C88" s="242"/>
      <c r="D88" s="229"/>
      <c r="E88" s="229"/>
      <c r="F88" s="229"/>
      <c r="G88" s="177"/>
      <c r="H88" s="229"/>
      <c r="I88" s="229"/>
      <c r="J88" s="229"/>
      <c r="K88" s="167"/>
      <c r="L88" s="159"/>
    </row>
    <row r="89" spans="1:12" ht="14.25" customHeight="1">
      <c r="A89" s="334" t="s">
        <v>455</v>
      </c>
      <c r="B89" s="334"/>
      <c r="C89" s="334"/>
      <c r="D89" s="334"/>
      <c r="E89" s="334"/>
      <c r="F89" s="334"/>
      <c r="G89" s="334"/>
      <c r="H89" s="334"/>
      <c r="I89" s="334"/>
      <c r="J89" s="334"/>
      <c r="K89" s="167"/>
      <c r="L89" s="159"/>
    </row>
    <row r="90" spans="1:12" ht="12.75" customHeight="1">
      <c r="A90" s="60"/>
      <c r="B90" s="107"/>
      <c r="C90" s="107"/>
      <c r="D90" s="107"/>
      <c r="E90" s="107"/>
      <c r="F90" s="107"/>
      <c r="G90" s="107"/>
      <c r="H90" s="107"/>
      <c r="I90" s="107"/>
      <c r="J90" s="107"/>
      <c r="K90" s="167"/>
      <c r="L90" s="159"/>
    </row>
    <row r="91" spans="1:12" ht="12.75" customHeight="1">
      <c r="A91" s="60"/>
      <c r="C91" s="326" t="s">
        <v>178</v>
      </c>
      <c r="D91" s="326"/>
      <c r="E91" s="326"/>
      <c r="F91" s="326"/>
      <c r="G91" s="111">
        <f>IF(ISERR(G87*G58)=TRUE,"-",G87*G58)</f>
        <v>0</v>
      </c>
      <c r="H91" s="110" t="s">
        <v>179</v>
      </c>
      <c r="I91" s="107"/>
      <c r="J91" s="107"/>
      <c r="K91" s="167"/>
      <c r="L91" s="159"/>
    </row>
    <row r="92" spans="1:12" ht="12.75" customHeight="1">
      <c r="A92" s="60"/>
      <c r="B92" s="107"/>
      <c r="C92" s="107"/>
      <c r="D92" s="107"/>
      <c r="E92" s="107"/>
      <c r="F92" s="107"/>
      <c r="G92" s="107"/>
      <c r="H92" s="107"/>
      <c r="I92" s="107"/>
      <c r="J92" s="107"/>
      <c r="K92" s="167"/>
      <c r="L92" s="159"/>
    </row>
    <row r="93" spans="1:12" ht="15.75" customHeight="1">
      <c r="A93" s="334" t="s">
        <v>456</v>
      </c>
      <c r="B93" s="334"/>
      <c r="C93" s="334"/>
      <c r="D93" s="334"/>
      <c r="E93" s="334"/>
      <c r="F93" s="334"/>
      <c r="G93" s="334"/>
      <c r="H93" s="334"/>
      <c r="I93" s="334"/>
      <c r="J93" s="334"/>
      <c r="K93" s="167"/>
      <c r="L93" s="159"/>
    </row>
    <row r="94" spans="1:12" ht="12.75" customHeight="1">
      <c r="A94" s="60"/>
      <c r="B94" s="104"/>
      <c r="C94" s="104"/>
      <c r="D94" s="104"/>
      <c r="E94" s="104"/>
      <c r="F94" s="104"/>
      <c r="G94" s="104"/>
      <c r="H94" s="104"/>
      <c r="I94" s="104"/>
      <c r="J94" s="104"/>
      <c r="K94" s="167"/>
      <c r="L94" s="159"/>
    </row>
    <row r="95" spans="1:12" ht="15" customHeight="1">
      <c r="A95" s="60"/>
      <c r="B95" s="247"/>
      <c r="C95" s="326" t="s">
        <v>181</v>
      </c>
      <c r="D95" s="326"/>
      <c r="E95" s="326"/>
      <c r="F95" s="326"/>
      <c r="G95" s="104">
        <v>0.499</v>
      </c>
      <c r="H95" s="326" t="s">
        <v>182</v>
      </c>
      <c r="I95" s="326"/>
      <c r="J95" s="104"/>
      <c r="K95" s="167"/>
      <c r="L95" s="159"/>
    </row>
    <row r="96" spans="1:12" ht="15.75" customHeight="1">
      <c r="A96" s="60"/>
      <c r="B96" s="247"/>
      <c r="C96" s="327" t="s">
        <v>183</v>
      </c>
      <c r="D96" s="327"/>
      <c r="E96" s="327"/>
      <c r="F96" s="327"/>
      <c r="G96" s="104"/>
      <c r="H96" s="104"/>
      <c r="I96" s="104"/>
      <c r="J96" s="104"/>
      <c r="K96" s="167"/>
      <c r="L96" s="159"/>
    </row>
    <row r="97" spans="1:12" ht="7.5" customHeight="1">
      <c r="A97" s="60"/>
      <c r="B97" s="247"/>
      <c r="C97" s="113"/>
      <c r="D97" s="107"/>
      <c r="E97" s="107"/>
      <c r="F97" s="104"/>
      <c r="G97" s="104"/>
      <c r="H97" s="104"/>
      <c r="I97" s="104"/>
      <c r="J97" s="104"/>
      <c r="K97" s="167"/>
      <c r="L97" s="159"/>
    </row>
    <row r="98" spans="1:12" ht="18.75" customHeight="1">
      <c r="A98" s="60"/>
      <c r="B98" s="247"/>
      <c r="C98" s="326" t="s">
        <v>496</v>
      </c>
      <c r="D98" s="326"/>
      <c r="E98" s="326"/>
      <c r="F98" s="326"/>
      <c r="G98" s="114">
        <f>IF(ISERR(G95*G87)=TRUE,"-",G95*G87)</f>
        <v>0</v>
      </c>
      <c r="H98" s="346" t="s">
        <v>184</v>
      </c>
      <c r="I98" s="346"/>
      <c r="J98" s="104"/>
      <c r="K98" s="167"/>
      <c r="L98" s="159"/>
    </row>
    <row r="99" spans="1:12" ht="12.75" customHeight="1">
      <c r="A99" s="167"/>
      <c r="B99" s="166"/>
      <c r="C99" s="242"/>
      <c r="D99" s="229"/>
      <c r="E99" s="229"/>
      <c r="F99" s="229"/>
      <c r="G99" s="177"/>
      <c r="H99" s="229"/>
      <c r="I99" s="229"/>
      <c r="J99" s="229"/>
      <c r="K99" s="167"/>
      <c r="L99" s="159"/>
    </row>
    <row r="100" spans="1:12" ht="12.75" customHeight="1">
      <c r="A100" s="167"/>
      <c r="B100" s="166"/>
      <c r="C100" s="242"/>
      <c r="D100" s="229"/>
      <c r="E100" s="229"/>
      <c r="F100" s="229"/>
      <c r="G100" s="177"/>
      <c r="H100" s="229"/>
      <c r="I100" s="229"/>
      <c r="J100" s="229"/>
      <c r="K100" s="167"/>
      <c r="L100" s="159"/>
    </row>
    <row r="101" spans="1:12" ht="15.75" customHeight="1">
      <c r="A101" s="334" t="s">
        <v>457</v>
      </c>
      <c r="B101" s="334"/>
      <c r="C101" s="334"/>
      <c r="D101" s="334"/>
      <c r="E101" s="334"/>
      <c r="F101" s="334"/>
      <c r="G101" s="334"/>
      <c r="H101" s="334"/>
      <c r="I101" s="334"/>
      <c r="J101" s="334"/>
      <c r="K101" s="167"/>
      <c r="L101" s="159"/>
    </row>
    <row r="102" spans="1:12" ht="12.75" customHeight="1">
      <c r="A102" s="167"/>
      <c r="B102" s="166"/>
      <c r="C102" s="242"/>
      <c r="D102" s="229"/>
      <c r="E102" s="229"/>
      <c r="F102" s="229"/>
      <c r="G102" s="177"/>
      <c r="H102" s="229"/>
      <c r="I102" s="229"/>
      <c r="J102" s="229"/>
      <c r="K102" s="167"/>
      <c r="L102" s="159"/>
    </row>
    <row r="103" spans="1:12" ht="12.75" customHeight="1">
      <c r="A103" s="167"/>
      <c r="B103" s="166"/>
      <c r="C103" s="248" t="s">
        <v>458</v>
      </c>
      <c r="D103" s="249"/>
      <c r="E103" s="250" t="s">
        <v>459</v>
      </c>
      <c r="F103" s="250"/>
      <c r="G103" s="250" t="s">
        <v>460</v>
      </c>
      <c r="H103" s="249"/>
      <c r="I103" s="229"/>
      <c r="J103" s="229"/>
      <c r="K103" s="167"/>
      <c r="L103" s="159"/>
    </row>
    <row r="104" spans="1:12" ht="1.5" customHeight="1">
      <c r="A104" s="167"/>
      <c r="B104" s="166"/>
      <c r="C104" s="251"/>
      <c r="D104" s="174"/>
      <c r="E104" s="251"/>
      <c r="F104" s="251"/>
      <c r="G104" s="162"/>
      <c r="H104" s="162"/>
      <c r="I104" s="229"/>
      <c r="J104" s="229"/>
      <c r="K104" s="167"/>
      <c r="L104" s="159"/>
    </row>
    <row r="105" spans="1:12" ht="12.75" customHeight="1">
      <c r="A105" s="167"/>
      <c r="B105" s="166"/>
      <c r="C105" s="252" t="s">
        <v>225</v>
      </c>
      <c r="D105" s="174"/>
      <c r="E105" s="253">
        <f>G44</f>
        <v>0</v>
      </c>
      <c r="F105" s="165" t="s">
        <v>124</v>
      </c>
      <c r="G105" s="253">
        <f>G16</f>
        <v>0</v>
      </c>
      <c r="H105" s="165" t="s">
        <v>124</v>
      </c>
      <c r="I105" s="229"/>
      <c r="J105" s="229"/>
      <c r="K105" s="167"/>
      <c r="L105" s="159"/>
    </row>
    <row r="106" spans="1:12" ht="3" customHeight="1">
      <c r="A106" s="167"/>
      <c r="B106" s="166"/>
      <c r="C106" s="252"/>
      <c r="D106" s="174"/>
      <c r="E106" s="253"/>
      <c r="F106" s="165"/>
      <c r="G106" s="253"/>
      <c r="H106" s="165"/>
      <c r="I106" s="229"/>
      <c r="J106" s="229"/>
      <c r="K106" s="167"/>
      <c r="L106" s="159"/>
    </row>
    <row r="107" spans="1:12" ht="12.75" customHeight="1">
      <c r="A107" s="167"/>
      <c r="B107" s="166"/>
      <c r="C107" s="252" t="s">
        <v>461</v>
      </c>
      <c r="D107" s="174"/>
      <c r="E107" s="253">
        <f>G46</f>
        <v>0</v>
      </c>
      <c r="F107" s="165" t="s">
        <v>186</v>
      </c>
      <c r="G107" s="253">
        <f>G18</f>
        <v>0</v>
      </c>
      <c r="H107" s="165" t="s">
        <v>186</v>
      </c>
      <c r="I107" s="229"/>
      <c r="J107" s="229"/>
      <c r="K107" s="167"/>
      <c r="L107" s="159"/>
    </row>
    <row r="108" spans="1:12" ht="2.25" customHeight="1">
      <c r="A108" s="167"/>
      <c r="B108" s="166"/>
      <c r="C108" s="252"/>
      <c r="D108" s="174"/>
      <c r="E108" s="253"/>
      <c r="F108" s="165"/>
      <c r="G108" s="253"/>
      <c r="H108" s="165"/>
      <c r="I108" s="229"/>
      <c r="J108" s="229"/>
      <c r="K108" s="167"/>
      <c r="L108" s="159"/>
    </row>
    <row r="109" spans="1:12" ht="16.5" customHeight="1">
      <c r="A109" s="167"/>
      <c r="B109" s="166"/>
      <c r="C109" s="254" t="s">
        <v>462</v>
      </c>
      <c r="D109" s="174"/>
      <c r="E109" s="255">
        <f>E105+E113/1000*(2490+1.96*E105)</f>
        <v>0</v>
      </c>
      <c r="F109" s="256" t="s">
        <v>465</v>
      </c>
      <c r="G109" s="257">
        <f>G105+G113/1000*(2490+1.96*G105)</f>
        <v>0</v>
      </c>
      <c r="H109" s="256" t="s">
        <v>465</v>
      </c>
      <c r="I109" s="229"/>
      <c r="J109" s="229"/>
      <c r="K109" s="167"/>
      <c r="L109" s="159"/>
    </row>
    <row r="110" spans="1:12" ht="3.75" customHeight="1">
      <c r="A110" s="167"/>
      <c r="B110" s="166"/>
      <c r="C110" s="252"/>
      <c r="D110" s="174"/>
      <c r="E110" s="253"/>
      <c r="F110" s="165"/>
      <c r="G110" s="253"/>
      <c r="H110" s="165"/>
      <c r="I110" s="229"/>
      <c r="J110" s="229"/>
      <c r="K110" s="167"/>
      <c r="L110" s="159"/>
    </row>
    <row r="111" spans="1:12" ht="17.25" customHeight="1">
      <c r="A111" s="167"/>
      <c r="B111" s="166"/>
      <c r="C111" s="254" t="s">
        <v>463</v>
      </c>
      <c r="D111" s="258"/>
      <c r="E111" s="259">
        <f>101320/(273.15+E105)/462/(0.622+E113/1000)</f>
        <v>1.2908079039016602</v>
      </c>
      <c r="F111" s="256" t="s">
        <v>466</v>
      </c>
      <c r="G111" s="259">
        <f>101320/(273.15+G105)/462/(0.622+G113/1000)</f>
        <v>1.2908079039016602</v>
      </c>
      <c r="H111" s="256" t="s">
        <v>466</v>
      </c>
      <c r="I111" s="229"/>
      <c r="J111" s="229"/>
      <c r="K111" s="167"/>
      <c r="L111" s="159"/>
    </row>
    <row r="112" spans="1:12" ht="3.75" customHeight="1">
      <c r="A112" s="167"/>
      <c r="B112" s="166"/>
      <c r="C112" s="252"/>
      <c r="D112" s="174"/>
      <c r="E112" s="253"/>
      <c r="F112" s="165"/>
      <c r="G112" s="253"/>
      <c r="H112" s="165"/>
      <c r="I112" s="229"/>
      <c r="J112" s="229"/>
      <c r="K112" s="167"/>
      <c r="L112" s="159"/>
    </row>
    <row r="113" spans="1:12" ht="17.25" customHeight="1">
      <c r="A113" s="167"/>
      <c r="B113" s="166"/>
      <c r="C113" s="254" t="s">
        <v>464</v>
      </c>
      <c r="D113" s="235"/>
      <c r="E113" s="257">
        <f>(0.000004*E105^4+0.0002*E105^3+0.008*E105^2+0.2875*E105+3.7821)*E107/100</f>
        <v>0</v>
      </c>
      <c r="F113" s="256" t="s">
        <v>467</v>
      </c>
      <c r="G113" s="257">
        <f>(0.000004*G105^4+0.0002*G105^3+0.008*G105^2+0.2875*G105+3.7821)*G107/100</f>
        <v>0</v>
      </c>
      <c r="H113" s="256" t="s">
        <v>467</v>
      </c>
      <c r="I113" s="229"/>
      <c r="J113" s="229"/>
      <c r="K113" s="167"/>
      <c r="L113" s="159"/>
    </row>
    <row r="114" spans="1:12" ht="17.25" customHeight="1">
      <c r="A114" s="167"/>
      <c r="B114" s="166"/>
      <c r="C114" s="254"/>
      <c r="D114" s="235"/>
      <c r="E114" s="257"/>
      <c r="F114" s="256"/>
      <c r="G114" s="257"/>
      <c r="H114" s="256"/>
      <c r="I114" s="229"/>
      <c r="J114" s="229"/>
      <c r="K114" s="167"/>
      <c r="L114" s="159"/>
    </row>
    <row r="115" spans="1:12" ht="16.5" customHeight="1">
      <c r="A115" s="167"/>
      <c r="B115" s="166"/>
      <c r="C115" s="174"/>
      <c r="D115" s="174"/>
      <c r="E115" s="250"/>
      <c r="F115" s="162"/>
      <c r="G115" s="250"/>
      <c r="H115" s="253"/>
      <c r="I115" s="229"/>
      <c r="J115" s="229"/>
      <c r="K115" s="167"/>
      <c r="L115" s="159"/>
    </row>
    <row r="116" spans="1:12" ht="1.5" customHeight="1">
      <c r="A116" s="167"/>
      <c r="B116" s="166"/>
      <c r="C116" s="174"/>
      <c r="D116" s="174"/>
      <c r="E116" s="174"/>
      <c r="F116" s="253"/>
      <c r="G116" s="257"/>
      <c r="H116" s="232"/>
      <c r="I116" s="229"/>
      <c r="J116" s="229"/>
      <c r="K116" s="167"/>
      <c r="L116" s="159"/>
    </row>
    <row r="117" spans="1:12" ht="12.75" customHeight="1">
      <c r="A117" s="167"/>
      <c r="B117" s="166"/>
      <c r="C117" s="249" t="s">
        <v>468</v>
      </c>
      <c r="D117" s="235"/>
      <c r="E117" s="260">
        <f>IF(G109=0,0,E121/(E109-G109)/G111*3600)</f>
        <v>0</v>
      </c>
      <c r="F117" s="249" t="s">
        <v>189</v>
      </c>
      <c r="G117" s="260"/>
      <c r="H117" s="232"/>
      <c r="I117" s="229"/>
      <c r="J117" s="229"/>
      <c r="K117" s="167"/>
      <c r="L117" s="159"/>
    </row>
    <row r="118" spans="1:12" ht="3" customHeight="1">
      <c r="A118" s="167"/>
      <c r="B118" s="166"/>
      <c r="C118" s="252"/>
      <c r="D118" s="174"/>
      <c r="E118" s="162"/>
      <c r="F118" s="261"/>
      <c r="G118" s="162"/>
      <c r="H118" s="232"/>
      <c r="I118" s="229"/>
      <c r="J118" s="229"/>
      <c r="K118" s="167"/>
      <c r="L118" s="159"/>
    </row>
    <row r="119" spans="1:12" ht="12.75" customHeight="1">
      <c r="A119" s="167"/>
      <c r="B119" s="166"/>
      <c r="C119" s="249" t="s">
        <v>469</v>
      </c>
      <c r="D119" s="235"/>
      <c r="E119" s="262">
        <f>E117*G36/3600</f>
        <v>0</v>
      </c>
      <c r="F119" s="254" t="s">
        <v>123</v>
      </c>
      <c r="G119" s="262"/>
      <c r="H119" s="232"/>
      <c r="I119" s="229"/>
      <c r="J119" s="229"/>
      <c r="K119" s="167"/>
      <c r="L119" s="159"/>
    </row>
    <row r="120" spans="1:12" ht="3.75" customHeight="1">
      <c r="A120" s="167"/>
      <c r="B120" s="166"/>
      <c r="C120" s="252"/>
      <c r="D120" s="174"/>
      <c r="E120" s="162"/>
      <c r="F120" s="261"/>
      <c r="G120" s="162"/>
      <c r="H120" s="232"/>
      <c r="I120" s="229"/>
      <c r="J120" s="229"/>
      <c r="K120" s="167"/>
      <c r="L120" s="159"/>
    </row>
    <row r="121" spans="1:12" ht="12.75" customHeight="1">
      <c r="A121" s="167"/>
      <c r="B121" s="166"/>
      <c r="C121" s="249" t="s">
        <v>470</v>
      </c>
      <c r="D121" s="235"/>
      <c r="E121" s="263">
        <f>(0.48+0.004*(E105-G105))*G111*G29*G31*G31^0.5*(1-E111/G111)^0.5*(E109-G109)</f>
        <v>0</v>
      </c>
      <c r="F121" s="249" t="s">
        <v>471</v>
      </c>
      <c r="G121" s="263"/>
      <c r="H121" s="232"/>
      <c r="I121" s="229"/>
      <c r="J121" s="229"/>
      <c r="K121" s="167"/>
      <c r="L121" s="159"/>
    </row>
    <row r="122" spans="1:12" ht="1.5" customHeight="1">
      <c r="A122" s="167"/>
      <c r="B122" s="166"/>
      <c r="C122" s="252"/>
      <c r="D122" s="174"/>
      <c r="E122" s="162"/>
      <c r="F122" s="261"/>
      <c r="G122" s="162"/>
      <c r="H122" s="232"/>
      <c r="I122" s="229"/>
      <c r="J122" s="229"/>
      <c r="K122" s="167"/>
      <c r="L122" s="159"/>
    </row>
    <row r="123" spans="1:12" ht="27" customHeight="1">
      <c r="A123" s="167"/>
      <c r="B123" s="166"/>
      <c r="C123" s="252" t="s">
        <v>472</v>
      </c>
      <c r="D123" s="235"/>
      <c r="E123" s="265">
        <f>E121*G36</f>
        <v>0</v>
      </c>
      <c r="F123" s="252" t="s">
        <v>476</v>
      </c>
      <c r="G123" s="265"/>
      <c r="H123" s="232"/>
      <c r="I123" s="229"/>
      <c r="J123" s="229"/>
      <c r="K123" s="167"/>
      <c r="L123" s="159"/>
    </row>
    <row r="124" spans="1:12" ht="1.5" customHeight="1">
      <c r="A124" s="167"/>
      <c r="B124" s="166"/>
      <c r="C124" s="252"/>
      <c r="D124" s="174"/>
      <c r="E124" s="162"/>
      <c r="F124" s="261"/>
      <c r="G124" s="162"/>
      <c r="H124" s="232"/>
      <c r="I124" s="229"/>
      <c r="J124" s="229"/>
      <c r="K124" s="167"/>
      <c r="L124" s="159"/>
    </row>
    <row r="125" spans="1:12" ht="12.75" customHeight="1">
      <c r="A125" s="167"/>
      <c r="B125" s="166"/>
      <c r="C125" s="249" t="s">
        <v>473</v>
      </c>
      <c r="D125" s="235"/>
      <c r="E125" s="263">
        <f>E119*E111*(E113-G113)</f>
        <v>0</v>
      </c>
      <c r="F125" s="159" t="s">
        <v>190</v>
      </c>
      <c r="G125" s="263"/>
      <c r="H125" s="232"/>
      <c r="I125" s="229"/>
      <c r="J125" s="229"/>
      <c r="K125" s="167"/>
      <c r="L125" s="159"/>
    </row>
    <row r="126" spans="1:12" ht="4.5" customHeight="1">
      <c r="A126" s="167"/>
      <c r="B126" s="166"/>
      <c r="C126" s="252"/>
      <c r="D126" s="174"/>
      <c r="E126" s="162"/>
      <c r="F126" s="261"/>
      <c r="G126" s="162"/>
      <c r="H126" s="232"/>
      <c r="I126" s="229"/>
      <c r="J126" s="229"/>
      <c r="K126" s="167"/>
      <c r="L126" s="159"/>
    </row>
    <row r="127" spans="1:12" ht="12.75" customHeight="1">
      <c r="A127" s="167"/>
      <c r="B127" s="166"/>
      <c r="C127" s="249" t="s">
        <v>474</v>
      </c>
      <c r="D127" s="235"/>
      <c r="E127" s="264">
        <f>E125*G38*G40/1000</f>
        <v>0</v>
      </c>
      <c r="F127" s="159" t="s">
        <v>475</v>
      </c>
      <c r="G127" s="264"/>
      <c r="H127" s="232"/>
      <c r="I127" s="229"/>
      <c r="J127" s="229"/>
      <c r="K127" s="167"/>
      <c r="L127" s="159"/>
    </row>
    <row r="128" spans="1:12" ht="12.75" customHeight="1">
      <c r="A128" s="167"/>
      <c r="B128" s="166"/>
      <c r="C128" s="162"/>
      <c r="D128" s="161"/>
      <c r="E128" s="162"/>
      <c r="F128" s="159"/>
      <c r="G128" s="159"/>
      <c r="H128" s="163"/>
      <c r="I128" s="229"/>
      <c r="J128" s="229"/>
      <c r="K128" s="167"/>
      <c r="L128" s="159"/>
    </row>
    <row r="129" spans="1:26" ht="10.5" customHeight="1">
      <c r="A129" s="159"/>
      <c r="B129" s="283"/>
      <c r="C129" s="159"/>
      <c r="D129" s="159"/>
      <c r="E129" s="159"/>
      <c r="F129" s="159"/>
      <c r="G129" s="159"/>
      <c r="H129" s="159"/>
      <c r="I129" s="159"/>
      <c r="J129" s="159"/>
      <c r="K129" s="258"/>
      <c r="L129" s="282"/>
      <c r="M129" s="124"/>
      <c r="N129" s="124"/>
      <c r="O129" s="124"/>
      <c r="P129" s="124"/>
      <c r="Q129" s="124"/>
      <c r="R129" s="124"/>
      <c r="S129" s="124"/>
      <c r="T129" s="124"/>
      <c r="U129" s="124"/>
      <c r="V129" s="124"/>
      <c r="W129" s="124"/>
      <c r="X129" s="124"/>
      <c r="Y129" s="124"/>
      <c r="Z129" s="124"/>
    </row>
    <row r="130" spans="1:26" ht="10.5" customHeight="1">
      <c r="A130" s="159"/>
      <c r="B130" s="283"/>
      <c r="C130" s="159"/>
      <c r="D130" s="159"/>
      <c r="E130" s="159"/>
      <c r="F130" s="159"/>
      <c r="G130" s="159"/>
      <c r="H130" s="159"/>
      <c r="I130" s="159"/>
      <c r="J130" s="159"/>
      <c r="K130" s="258"/>
      <c r="L130" s="282"/>
      <c r="M130" s="124"/>
      <c r="N130" s="124"/>
      <c r="O130" s="124"/>
      <c r="P130" s="124"/>
      <c r="Q130" s="124"/>
      <c r="R130" s="124"/>
      <c r="S130" s="124"/>
      <c r="T130" s="124"/>
      <c r="U130" s="124"/>
      <c r="V130" s="124"/>
      <c r="W130" s="124"/>
      <c r="X130" s="124"/>
      <c r="Y130" s="124"/>
      <c r="Z130" s="124"/>
    </row>
    <row r="131" spans="1:26" ht="10.5" customHeight="1">
      <c r="A131" s="159"/>
      <c r="B131" s="283"/>
      <c r="C131" s="159"/>
      <c r="D131" s="159"/>
      <c r="E131" s="159"/>
      <c r="F131" s="159"/>
      <c r="G131" s="159"/>
      <c r="H131" s="159"/>
      <c r="I131" s="159"/>
      <c r="J131" s="159"/>
      <c r="K131" s="258"/>
      <c r="L131" s="282"/>
      <c r="M131" s="124"/>
      <c r="N131" s="124"/>
      <c r="O131" s="124"/>
      <c r="P131" s="124"/>
      <c r="Q131" s="124"/>
      <c r="R131" s="124"/>
      <c r="S131" s="124"/>
      <c r="T131" s="124"/>
      <c r="U131" s="124"/>
      <c r="V131" s="124"/>
      <c r="W131" s="124"/>
      <c r="X131" s="124"/>
      <c r="Y131" s="124"/>
      <c r="Z131" s="124"/>
    </row>
    <row r="132" spans="1:26" ht="10.5" customHeight="1">
      <c r="A132" s="159"/>
      <c r="B132" s="283"/>
      <c r="C132" s="159"/>
      <c r="D132" s="159"/>
      <c r="E132" s="159"/>
      <c r="F132" s="159"/>
      <c r="G132" s="159"/>
      <c r="H132" s="159"/>
      <c r="I132" s="159"/>
      <c r="J132" s="159"/>
      <c r="K132" s="258"/>
      <c r="L132" s="282"/>
      <c r="M132" s="124"/>
      <c r="N132" s="124"/>
      <c r="O132" s="124"/>
      <c r="P132" s="124"/>
      <c r="Q132" s="124"/>
      <c r="R132" s="124"/>
      <c r="S132" s="124"/>
      <c r="T132" s="124"/>
      <c r="U132" s="124"/>
      <c r="V132" s="124"/>
      <c r="W132" s="124"/>
      <c r="X132" s="124"/>
      <c r="Y132" s="124"/>
      <c r="Z132" s="124"/>
    </row>
    <row r="133" spans="1:26" ht="12.75" customHeight="1">
      <c r="C133" s="129"/>
      <c r="D133" s="130"/>
      <c r="E133" s="135"/>
      <c r="F133" s="140"/>
      <c r="G133" s="125"/>
      <c r="H133" s="141"/>
      <c r="I133" s="133"/>
    </row>
    <row r="134" spans="1:26" ht="12.75" customHeight="1">
      <c r="C134" s="129"/>
      <c r="D134" s="125"/>
      <c r="E134" s="135"/>
      <c r="F134" s="140"/>
      <c r="G134" s="125"/>
      <c r="H134" s="141"/>
      <c r="I134" s="133"/>
    </row>
    <row r="135" spans="1:26" ht="12.75" customHeight="1">
      <c r="C135" s="129"/>
      <c r="D135" s="125"/>
      <c r="E135" s="140"/>
      <c r="F135" s="125"/>
      <c r="G135" s="125"/>
      <c r="H135" s="141"/>
      <c r="I135" s="133"/>
    </row>
    <row r="136" spans="1:26" s="139" customFormat="1" ht="12.75" customHeight="1">
      <c r="B136" s="118"/>
      <c r="C136" s="136"/>
      <c r="D136" s="127"/>
      <c r="E136" s="136"/>
      <c r="F136" s="127"/>
      <c r="G136" s="127"/>
      <c r="H136" s="138"/>
      <c r="I136" s="133"/>
    </row>
    <row r="137" spans="1:26" ht="12.75" customHeight="1">
      <c r="C137" s="125"/>
      <c r="D137" s="126"/>
      <c r="E137" s="129"/>
      <c r="F137" s="125"/>
      <c r="G137" s="125"/>
      <c r="H137" s="132"/>
      <c r="I137" s="133"/>
    </row>
    <row r="138" spans="1:26" ht="12.75" customHeight="1">
      <c r="C138" s="129"/>
      <c r="D138" s="130"/>
      <c r="E138" s="131"/>
      <c r="F138" s="125"/>
      <c r="G138" s="125"/>
      <c r="H138" s="141"/>
      <c r="I138" s="133"/>
    </row>
    <row r="139" spans="1:26" ht="12.75" customHeight="1">
      <c r="C139" s="129"/>
      <c r="D139" s="130"/>
      <c r="E139" s="140"/>
      <c r="F139" s="125"/>
      <c r="G139" s="125"/>
      <c r="H139" s="141"/>
      <c r="I139" s="133"/>
    </row>
    <row r="140" spans="1:26" ht="12.75" customHeight="1">
      <c r="C140" s="129"/>
      <c r="D140" s="130"/>
      <c r="E140" s="131"/>
      <c r="F140" s="125"/>
      <c r="G140" s="125"/>
      <c r="H140" s="141"/>
      <c r="I140" s="133"/>
    </row>
    <row r="141" spans="1:26" s="139" customFormat="1" ht="12.75" customHeight="1">
      <c r="B141" s="118"/>
      <c r="C141" s="136"/>
      <c r="D141" s="127"/>
      <c r="E141" s="136"/>
      <c r="F141" s="127"/>
      <c r="G141" s="127"/>
      <c r="H141" s="138"/>
      <c r="I141" s="133"/>
    </row>
    <row r="142" spans="1:26" ht="12.75" customHeight="1">
      <c r="C142" s="129"/>
      <c r="D142" s="130"/>
      <c r="E142" s="129"/>
      <c r="F142" s="125"/>
      <c r="G142" s="125"/>
      <c r="H142" s="141"/>
      <c r="I142" s="133"/>
    </row>
    <row r="143" spans="1:26" ht="12.75" customHeight="1">
      <c r="C143" s="129"/>
      <c r="D143" s="125"/>
      <c r="E143" s="129"/>
      <c r="F143" s="125"/>
      <c r="G143" s="125"/>
      <c r="H143" s="141"/>
      <c r="I143" s="142"/>
    </row>
    <row r="144" spans="1:26" ht="12.75" customHeight="1">
      <c r="C144" s="129"/>
      <c r="D144" s="130"/>
      <c r="E144" s="129"/>
      <c r="F144" s="125"/>
      <c r="G144" s="125"/>
      <c r="H144" s="141"/>
      <c r="I144" s="142"/>
    </row>
    <row r="145" spans="2:9" s="139" customFormat="1" ht="12.75" customHeight="1">
      <c r="B145" s="118"/>
      <c r="C145" s="136"/>
      <c r="D145" s="143"/>
      <c r="E145" s="136"/>
      <c r="F145" s="127"/>
      <c r="G145" s="127"/>
      <c r="H145" s="144"/>
      <c r="I145" s="133"/>
    </row>
    <row r="146" spans="2:9" ht="12.75" customHeight="1">
      <c r="C146" s="129"/>
      <c r="D146" s="130"/>
      <c r="E146" s="129"/>
      <c r="F146" s="125"/>
      <c r="G146" s="125"/>
      <c r="H146" s="141"/>
      <c r="I146" s="142"/>
    </row>
    <row r="147" spans="2:9" ht="12.75" customHeight="1">
      <c r="C147" s="129"/>
      <c r="D147" s="130"/>
      <c r="E147" s="129"/>
      <c r="F147" s="125"/>
      <c r="G147" s="125"/>
      <c r="H147" s="141"/>
      <c r="I147" s="142"/>
    </row>
    <row r="148" spans="2:9" ht="12.75" customHeight="1">
      <c r="C148" s="129"/>
      <c r="D148" s="130"/>
      <c r="E148" s="129"/>
      <c r="F148" s="125"/>
      <c r="G148" s="125"/>
      <c r="H148" s="132"/>
      <c r="I148" s="133"/>
    </row>
    <row r="149" spans="2:9" ht="12.75" customHeight="1">
      <c r="C149" s="129"/>
      <c r="D149" s="130"/>
      <c r="E149" s="129"/>
      <c r="F149" s="125"/>
      <c r="G149" s="125"/>
      <c r="H149" s="132"/>
      <c r="I149" s="145"/>
    </row>
    <row r="150" spans="2:9" ht="12.75" customHeight="1">
      <c r="C150" s="129"/>
      <c r="D150" s="130"/>
      <c r="E150" s="129"/>
      <c r="F150" s="125"/>
      <c r="G150" s="125"/>
      <c r="H150" s="132"/>
      <c r="I150" s="133"/>
    </row>
    <row r="151" spans="2:9" ht="12.75" customHeight="1">
      <c r="C151" s="129"/>
      <c r="D151" s="130"/>
      <c r="E151" s="129"/>
      <c r="F151" s="125"/>
      <c r="G151" s="125"/>
      <c r="H151" s="132"/>
      <c r="I151" s="133"/>
    </row>
    <row r="152" spans="2:9" ht="12.75" customHeight="1">
      <c r="C152" s="129"/>
      <c r="D152" s="130"/>
      <c r="E152" s="129"/>
      <c r="F152" s="125"/>
      <c r="G152" s="125"/>
      <c r="H152" s="132"/>
      <c r="I152" s="133"/>
    </row>
    <row r="153" spans="2:9" s="127" customFormat="1" ht="12.75" customHeight="1">
      <c r="B153" s="136"/>
      <c r="D153" s="137"/>
      <c r="E153" s="136"/>
      <c r="H153" s="138"/>
      <c r="I153" s="133"/>
    </row>
    <row r="154" spans="2:9" ht="12.75" customHeight="1">
      <c r="C154" s="134"/>
      <c r="D154" s="146"/>
      <c r="E154" s="128"/>
      <c r="F154" s="134"/>
      <c r="G154" s="134"/>
      <c r="H154" s="147"/>
      <c r="I154" s="148"/>
    </row>
    <row r="155" spans="2:9" ht="12.75" customHeight="1">
      <c r="C155" s="134"/>
      <c r="D155" s="146"/>
      <c r="E155" s="128"/>
      <c r="F155" s="134"/>
      <c r="G155" s="134"/>
      <c r="H155" s="147"/>
      <c r="I155" s="148"/>
    </row>
    <row r="156" spans="2:9" ht="12.75" customHeight="1">
      <c r="C156" s="134"/>
      <c r="D156" s="146"/>
      <c r="E156" s="128"/>
      <c r="F156" s="134"/>
      <c r="G156" s="134"/>
      <c r="H156" s="147"/>
      <c r="I156" s="148"/>
    </row>
    <row r="157" spans="2:9" ht="12.75" customHeight="1">
      <c r="C157" s="134"/>
      <c r="D157" s="146"/>
      <c r="E157" s="128"/>
      <c r="F157" s="134"/>
      <c r="G157" s="134"/>
      <c r="H157" s="147"/>
      <c r="I157" s="148"/>
    </row>
  </sheetData>
  <mergeCells count="24">
    <mergeCell ref="C52:I52"/>
    <mergeCell ref="C53:F53"/>
    <mergeCell ref="C71:J71"/>
    <mergeCell ref="A56:J56"/>
    <mergeCell ref="A62:J62"/>
    <mergeCell ref="C59:K59"/>
    <mergeCell ref="A101:J101"/>
    <mergeCell ref="A89:J89"/>
    <mergeCell ref="A93:J93"/>
    <mergeCell ref="C77:J77"/>
    <mergeCell ref="C78:J78"/>
    <mergeCell ref="C91:F91"/>
    <mergeCell ref="C95:F95"/>
    <mergeCell ref="H95:I95"/>
    <mergeCell ref="C96:F96"/>
    <mergeCell ref="C98:F98"/>
    <mergeCell ref="H98:I98"/>
    <mergeCell ref="B2:K2"/>
    <mergeCell ref="A4:J4"/>
    <mergeCell ref="A26:J26"/>
    <mergeCell ref="A42:J42"/>
    <mergeCell ref="A49:J49"/>
    <mergeCell ref="H38:I38"/>
    <mergeCell ref="D40:F40"/>
  </mergeCells>
  <hyperlinks>
    <hyperlink ref="C96" r:id="rId1"/>
  </hyperlinks>
  <printOptions horizontalCentered="1" verticalCentered="1" gridLines="1"/>
  <pageMargins left="0.21" right="0.19" top="1.7632575757575757" bottom="1.19" header="0.51181102362204722" footer="0.51181102362204722"/>
  <pageSetup scale="76" fitToHeight="0" orientation="portrait" horizontalDpi="300" verticalDpi="300" r:id="rId2"/>
  <headerFooter alignWithMargins="0">
    <oddHeader>&amp;C&amp;G&amp;R&amp;"Arial,Negrita Cursiva"REFRIGERACIÓN</oddHeader>
  </headerFooter>
  <rowBreaks count="1" manualBreakCount="1">
    <brk id="115" max="11" man="1"/>
  </rowBreaks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topLeftCell="A13" workbookViewId="0">
      <selection activeCell="A18" sqref="A18:E33"/>
    </sheetView>
  </sheetViews>
  <sheetFormatPr baseColWidth="10" defaultRowHeight="15"/>
  <cols>
    <col min="1" max="1" width="16.42578125" customWidth="1"/>
  </cols>
  <sheetData>
    <row r="2" ht="35.2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1. Datos de entrada</vt:lpstr>
      <vt:lpstr>2. MAE Evaluación general</vt:lpstr>
      <vt:lpstr>3. MAE mejora aislamiento</vt:lpstr>
      <vt:lpstr>4. MAE apertura cierre puertas</vt:lpstr>
      <vt:lpstr>5. MAE proceso deshielo</vt:lpstr>
      <vt:lpstr>Hoja1</vt:lpstr>
      <vt:lpstr>'1. Datos de entrada'!Área_de_impresión</vt:lpstr>
      <vt:lpstr>'2. MAE Evaluación general'!Área_de_impresión</vt:lpstr>
      <vt:lpstr>'3. MAE mejora aislamiento'!Área_de_impresión</vt:lpstr>
      <vt:lpstr>'4. MAE apertura cierre puertas'!Área_de_impresión</vt:lpstr>
      <vt:lpstr>'5. MAE proceso deshielo'!Área_de_impresión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Nadege Richards</dc:creator>
  <cp:lastModifiedBy>Nadege</cp:lastModifiedBy>
  <cp:lastPrinted>2015-07-08T05:30:36Z</cp:lastPrinted>
  <dcterms:created xsi:type="dcterms:W3CDTF">2015-05-02T16:23:14Z</dcterms:created>
  <dcterms:modified xsi:type="dcterms:W3CDTF">2015-07-25T00:14:05Z</dcterms:modified>
</cp:coreProperties>
</file>